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фінансування'!$A$1:$I$161</definedName>
  </definedNames>
  <calcPr fullCalcOnLoad="1"/>
</workbook>
</file>

<file path=xl/sharedStrings.xml><?xml version="1.0" encoding="utf-8"?>
<sst xmlns="http://schemas.openxmlformats.org/spreadsheetml/2006/main" count="166" uniqueCount="119">
  <si>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</si>
  <si>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</si>
  <si>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</si>
  <si>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</si>
  <si>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</si>
  <si>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</si>
  <si>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</si>
  <si>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</si>
  <si>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</si>
  <si>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</si>
  <si>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</si>
  <si>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</si>
  <si>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</si>
  <si>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</si>
  <si>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</si>
  <si>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</si>
  <si>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</si>
  <si>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</si>
  <si>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</si>
  <si>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</si>
  <si>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</si>
  <si>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</si>
  <si>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</si>
  <si>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</si>
  <si>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</si>
  <si>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</si>
  <si>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</si>
  <si>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</si>
  <si>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</si>
  <si>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</si>
  <si>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</si>
  <si>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</si>
  <si>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</si>
  <si>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</si>
  <si>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</si>
  <si>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</si>
  <si>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</si>
  <si>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</si>
  <si>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</si>
  <si>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</si>
  <si>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</si>
  <si>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</si>
  <si>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</si>
  <si>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</si>
  <si>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</si>
  <si>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</si>
  <si>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</si>
  <si>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</si>
  <si>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</si>
  <si>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</si>
  <si>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</si>
  <si>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</si>
  <si>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</si>
  <si>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</si>
  <si>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</si>
  <si>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</si>
  <si>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</si>
  <si>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</si>
  <si>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</si>
  <si>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</si>
  <si>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</si>
  <si>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</si>
  <si>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</si>
  <si>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</si>
  <si>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</si>
  <si>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</si>
  <si>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</si>
  <si>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</si>
  <si>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</si>
  <si>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</si>
  <si>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</si>
  <si>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</si>
  <si>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</si>
  <si>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</si>
  <si>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</si>
  <si>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</si>
  <si>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</si>
  <si>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</si>
  <si>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</si>
  <si>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</si>
  <si>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</si>
  <si>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</si>
  <si>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</si>
  <si>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</si>
  <si>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</si>
  <si>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</si>
  <si>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</si>
  <si>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</si>
  <si>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</si>
  <si>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</si>
  <si>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</si>
  <si>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</si>
  <si>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</si>
  <si>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</si>
  <si>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</si>
  <si>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</si>
  <si>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</si>
  <si>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</si>
  <si>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</si>
  <si>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</si>
  <si>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</si>
  <si>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</si>
  <si>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</si>
  <si>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Реверсна дотація</t>
  </si>
  <si>
    <t>План на рік, тис.грн.</t>
  </si>
  <si>
    <t>Відсоток виконання річного плану</t>
  </si>
  <si>
    <t>Відхилення від річного плану, тис.грн.</t>
  </si>
  <si>
    <t>в т.ч. за рахунок освітньої субвенції</t>
  </si>
  <si>
    <t>в т.ч. за рахунок медичної субвенції</t>
  </si>
  <si>
    <t>Дорожній фонд</t>
  </si>
  <si>
    <t>в т.ч. енергоносії</t>
  </si>
  <si>
    <t>Екологічний фонд</t>
  </si>
  <si>
    <t>План на І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</si>
  <si>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</si>
  <si>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</si>
  <si>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2015 рік станом на 23.03.2015 року</t>
  </si>
  <si>
    <t>Програма підтримки обороноздатності м. Черкаси</t>
  </si>
  <si>
    <t>Програма підтримки учасників антитерористичної операції</t>
  </si>
  <si>
    <t>Субвенція державному бьюджету на виконання програм соціально-економічного та культурного розвитку регіонів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</si>
</sst>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1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4"/>
      <color indexed="9"/>
      <name val="Arial Cyr"/>
      <family val="0"/>
    </font>
    <font>
      <sz val="12"/>
      <name val="Arial Cyr"/>
      <family val="0"/>
    </font>
    <font>
      <sz val="16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 style="medium"/>
      <right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/>
      <bottom/>
    </border>
    <border>
      <left style="medium"/>
      <right style="medium"/>
      <top style="medium"/>
      <bottom>
        <color indexed="63"/>
      </bottom>
    </border>
    <border>
      <left style="medium"/>
      <right/>
      <top/>
      <bottom>
        <color indexed="63"/>
      </bottom>
    </border>
    <border>
      <left style="medium"/>
      <right style="medium"/>
      <top/>
      <bottom>
        <color indexed="63"/>
      </bottom>
    </border>
    <border>
      <left style="medium"/>
      <right/>
      <top>
        <color indexed="63"/>
      </top>
      <bottom/>
    </border>
    <border>
      <left style="medium"/>
      <right style="medium"/>
      <top>
        <color indexed="63"/>
      </top>
      <bottom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57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58" fillId="0" borderId="10" xfId="0" applyNumberFormat="1" applyFont="1" applyFill="1" applyBorder="1" applyAlignment="1">
      <alignment/>
    </xf>
    <xf numFmtId="173" fontId="14" fillId="0" borderId="10" xfId="0" applyNumberFormat="1" applyFont="1" applyFill="1" applyBorder="1" applyAlignment="1">
      <alignment/>
    </xf>
    <xf numFmtId="0" fontId="13" fillId="0" borderId="19" xfId="0" applyFont="1" applyFill="1" applyBorder="1" applyAlignment="1">
      <alignment wrapText="1"/>
    </xf>
    <xf numFmtId="174" fontId="13" fillId="0" borderId="19" xfId="0" applyNumberFormat="1" applyFont="1" applyFill="1" applyBorder="1" applyAlignment="1">
      <alignment wrapText="1"/>
    </xf>
    <xf numFmtId="174" fontId="13" fillId="0" borderId="19" xfId="0" applyNumberFormat="1" applyFont="1" applyFill="1" applyBorder="1" applyAlignment="1">
      <alignment/>
    </xf>
    <xf numFmtId="174" fontId="13" fillId="0" borderId="20" xfId="0" applyNumberFormat="1" applyFont="1" applyFill="1" applyBorder="1" applyAlignment="1">
      <alignment/>
    </xf>
    <xf numFmtId="173" fontId="13" fillId="0" borderId="20" xfId="0" applyNumberFormat="1" applyFont="1" applyFill="1" applyBorder="1" applyAlignment="1">
      <alignment/>
    </xf>
    <xf numFmtId="0" fontId="5" fillId="0" borderId="21" xfId="0" applyFont="1" applyFill="1" applyBorder="1" applyAlignment="1">
      <alignment wrapText="1"/>
    </xf>
    <xf numFmtId="173" fontId="4" fillId="24" borderId="22" xfId="0" applyNumberFormat="1" applyFont="1" applyFill="1" applyBorder="1" applyAlignment="1">
      <alignment/>
    </xf>
    <xf numFmtId="0" fontId="3" fillId="0" borderId="23" xfId="0" applyFont="1" applyFill="1" applyBorder="1" applyAlignment="1">
      <alignment wrapText="1"/>
    </xf>
    <xf numFmtId="174" fontId="3" fillId="0" borderId="23" xfId="0" applyNumberFormat="1" applyFont="1" applyFill="1" applyBorder="1" applyAlignment="1">
      <alignment/>
    </xf>
    <xf numFmtId="173" fontId="3" fillId="0" borderId="24" xfId="0" applyNumberFormat="1" applyFont="1" applyFill="1" applyBorder="1" applyAlignment="1">
      <alignment/>
    </xf>
    <xf numFmtId="0" fontId="5" fillId="0" borderId="25" xfId="0" applyFont="1" applyFill="1" applyBorder="1" applyAlignment="1">
      <alignment wrapText="1"/>
    </xf>
    <xf numFmtId="174" fontId="5" fillId="0" borderId="25" xfId="0" applyNumberFormat="1" applyFont="1" applyFill="1" applyBorder="1" applyAlignment="1">
      <alignment wrapText="1"/>
    </xf>
    <xf numFmtId="174" fontId="4" fillId="0" borderId="25" xfId="0" applyNumberFormat="1" applyFont="1" applyFill="1" applyBorder="1" applyAlignment="1">
      <alignment/>
    </xf>
    <xf numFmtId="174" fontId="4" fillId="0" borderId="26" xfId="0" applyNumberFormat="1" applyFont="1" applyFill="1" applyBorder="1" applyAlignment="1">
      <alignment/>
    </xf>
    <xf numFmtId="173" fontId="4" fillId="0" borderId="26" xfId="0" applyNumberFormat="1" applyFont="1" applyFill="1" applyBorder="1" applyAlignment="1">
      <alignment/>
    </xf>
    <xf numFmtId="173" fontId="4" fillId="24" borderId="27" xfId="0" applyNumberFormat="1" applyFont="1" applyFill="1" applyBorder="1" applyAlignment="1">
      <alignment/>
    </xf>
    <xf numFmtId="0" fontId="5" fillId="24" borderId="28" xfId="0" applyFont="1" applyFill="1" applyBorder="1" applyAlignment="1">
      <alignment wrapText="1"/>
    </xf>
    <xf numFmtId="0" fontId="3" fillId="0" borderId="29" xfId="0" applyFont="1" applyFill="1" applyBorder="1" applyAlignment="1">
      <alignment wrapText="1"/>
    </xf>
    <xf numFmtId="173" fontId="3" fillId="0" borderId="30" xfId="0" applyNumberFormat="1" applyFont="1" applyFill="1" applyBorder="1" applyAlignment="1">
      <alignment/>
    </xf>
    <xf numFmtId="173" fontId="4" fillId="24" borderId="31" xfId="0" applyNumberFormat="1" applyFont="1" applyFill="1" applyBorder="1" applyAlignment="1">
      <alignment/>
    </xf>
    <xf numFmtId="173" fontId="4" fillId="24" borderId="32" xfId="0" applyNumberFormat="1" applyFont="1" applyFill="1" applyBorder="1" applyAlignment="1">
      <alignment/>
    </xf>
    <xf numFmtId="174" fontId="5" fillId="24" borderId="28" xfId="0" applyNumberFormat="1" applyFont="1" applyFill="1" applyBorder="1" applyAlignment="1">
      <alignment wrapText="1"/>
    </xf>
    <xf numFmtId="174" fontId="4" fillId="24" borderId="32" xfId="0" applyNumberFormat="1" applyFont="1" applyFill="1" applyBorder="1" applyAlignment="1">
      <alignment/>
    </xf>
    <xf numFmtId="174" fontId="4" fillId="24" borderId="27" xfId="0" applyNumberFormat="1" applyFont="1" applyFill="1" applyBorder="1" applyAlignment="1">
      <alignment horizontal="right"/>
    </xf>
    <xf numFmtId="174" fontId="3" fillId="0" borderId="29" xfId="0" applyNumberFormat="1" applyFont="1" applyFill="1" applyBorder="1" applyAlignment="1">
      <alignment wrapText="1"/>
    </xf>
    <xf numFmtId="174" fontId="3" fillId="0" borderId="33" xfId="0" applyNumberFormat="1" applyFont="1" applyFill="1" applyBorder="1" applyAlignment="1">
      <alignment horizontal="right"/>
    </xf>
    <xf numFmtId="174" fontId="3" fillId="0" borderId="34" xfId="0" applyNumberFormat="1" applyFont="1" applyFill="1" applyBorder="1" applyAlignment="1">
      <alignment/>
    </xf>
    <xf numFmtId="173" fontId="3" fillId="0" borderId="29" xfId="0" applyNumberFormat="1" applyFont="1" applyFill="1" applyBorder="1" applyAlignment="1">
      <alignment/>
    </xf>
    <xf numFmtId="173" fontId="3" fillId="0" borderId="35" xfId="0" applyNumberFormat="1" applyFont="1" applyFill="1" applyBorder="1" applyAlignment="1">
      <alignment/>
    </xf>
    <xf numFmtId="173" fontId="3" fillId="0" borderId="3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47925.9</c:v>
                </c:pt>
                <c:pt idx="1">
                  <c:v>39638</c:v>
                </c:pt>
                <c:pt idx="2">
                  <c:v>2406.5</c:v>
                </c:pt>
                <c:pt idx="3">
                  <c:v>5881.4000000000015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4544.299999999999</c:v>
                </c:pt>
                <c:pt idx="1">
                  <c:v>4024.9000000000005</c:v>
                </c:pt>
                <c:pt idx="2">
                  <c:v>21.3</c:v>
                </c:pt>
                <c:pt idx="3">
                  <c:v>498.0999999999987</c:v>
                </c:pt>
              </c:numCache>
            </c:numRef>
          </c:val>
          <c:shape val="box"/>
        </c:ser>
        <c:shape val="box"/>
        <c:axId val="7725900"/>
        <c:axId val="2424237"/>
      </c:bar3DChart>
      <c:catAx>
        <c:axId val="7725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424237"/>
        <c:crosses val="autoZero"/>
        <c:auto val="1"/>
        <c:lblOffset val="100"/>
        <c:tickLblSkip val="1"/>
        <c:noMultiLvlLbl val="0"/>
      </c:catAx>
      <c:valAx>
        <c:axId val="242423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7259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336144.8</c:v>
                </c:pt>
                <c:pt idx="1">
                  <c:v>179936.4</c:v>
                </c:pt>
                <c:pt idx="2">
                  <c:v>251964.7</c:v>
                </c:pt>
                <c:pt idx="3">
                  <c:v>45.2</c:v>
                </c:pt>
                <c:pt idx="4">
                  <c:v>21498.1</c:v>
                </c:pt>
                <c:pt idx="5">
                  <c:v>59404.7</c:v>
                </c:pt>
                <c:pt idx="6">
                  <c:v>286.2</c:v>
                </c:pt>
                <c:pt idx="7">
                  <c:v>2945.899999999984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31509.90000000001</c:v>
                </c:pt>
                <c:pt idx="1">
                  <c:v>17312.899999999998</c:v>
                </c:pt>
                <c:pt idx="2">
                  <c:v>27446.600000000002</c:v>
                </c:pt>
                <c:pt idx="4">
                  <c:v>2307.6000000000004</c:v>
                </c:pt>
                <c:pt idx="5">
                  <c:v>1661</c:v>
                </c:pt>
                <c:pt idx="6">
                  <c:v>20.299999999999997</c:v>
                </c:pt>
                <c:pt idx="7">
                  <c:v>74.40000000000619</c:v>
                </c:pt>
              </c:numCache>
            </c:numRef>
          </c:val>
          <c:shape val="box"/>
        </c:ser>
        <c:shape val="box"/>
        <c:axId val="21818134"/>
        <c:axId val="62145479"/>
      </c:bar3DChart>
      <c:catAx>
        <c:axId val="2181813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145479"/>
        <c:crosses val="autoZero"/>
        <c:auto val="1"/>
        <c:lblOffset val="100"/>
        <c:tickLblSkip val="1"/>
        <c:noMultiLvlLbl val="0"/>
      </c:catAx>
      <c:valAx>
        <c:axId val="621454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81813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25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225678.2</c:v>
                </c:pt>
                <c:pt idx="1">
                  <c:v>186519.2</c:v>
                </c:pt>
                <c:pt idx="2">
                  <c:v>169195.9</c:v>
                </c:pt>
                <c:pt idx="3">
                  <c:v>12491.1</c:v>
                </c:pt>
                <c:pt idx="4">
                  <c:v>3253.3</c:v>
                </c:pt>
                <c:pt idx="5">
                  <c:v>24676.2</c:v>
                </c:pt>
                <c:pt idx="6">
                  <c:v>1528.1</c:v>
                </c:pt>
                <c:pt idx="7">
                  <c:v>14533.600000000015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20724.399999999998</c:v>
                </c:pt>
                <c:pt idx="1">
                  <c:v>20724.4</c:v>
                </c:pt>
                <c:pt idx="2">
                  <c:v>17986.199999999997</c:v>
                </c:pt>
                <c:pt idx="3">
                  <c:v>106.1</c:v>
                </c:pt>
                <c:pt idx="4">
                  <c:v>220</c:v>
                </c:pt>
                <c:pt idx="5">
                  <c:v>1456</c:v>
                </c:pt>
                <c:pt idx="6">
                  <c:v>111</c:v>
                </c:pt>
                <c:pt idx="7">
                  <c:v>845.1000000000008</c:v>
                </c:pt>
              </c:numCache>
            </c:numRef>
          </c:val>
          <c:shape val="box"/>
        </c:ser>
        <c:shape val="box"/>
        <c:axId val="22438400"/>
        <c:axId val="619009"/>
      </c:bar3DChart>
      <c:catAx>
        <c:axId val="22438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19009"/>
        <c:crosses val="autoZero"/>
        <c:auto val="1"/>
        <c:lblOffset val="100"/>
        <c:tickLblSkip val="1"/>
        <c:noMultiLvlLbl val="0"/>
      </c:catAx>
      <c:valAx>
        <c:axId val="6190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43840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41831.7</c:v>
                </c:pt>
                <c:pt idx="1">
                  <c:v>29626.4</c:v>
                </c:pt>
                <c:pt idx="2">
                  <c:v>2423.5</c:v>
                </c:pt>
                <c:pt idx="3">
                  <c:v>493.5</c:v>
                </c:pt>
                <c:pt idx="4">
                  <c:v>47.2</c:v>
                </c:pt>
                <c:pt idx="5">
                  <c:v>9241.099999999995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4735.999999999999</c:v>
                </c:pt>
                <c:pt idx="1">
                  <c:v>3465.9000000000005</c:v>
                </c:pt>
                <c:pt idx="2">
                  <c:v>229.50000000000003</c:v>
                </c:pt>
                <c:pt idx="3">
                  <c:v>43.300000000000004</c:v>
                </c:pt>
                <c:pt idx="4">
                  <c:v>6.8</c:v>
                </c:pt>
                <c:pt idx="5">
                  <c:v>990.4999999999986</c:v>
                </c:pt>
              </c:numCache>
            </c:numRef>
          </c:val>
          <c:shape val="box"/>
        </c:ser>
        <c:shape val="box"/>
        <c:axId val="5571082"/>
        <c:axId val="50139739"/>
      </c:bar3DChart>
      <c:catAx>
        <c:axId val="55710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0139739"/>
        <c:crosses val="autoZero"/>
        <c:auto val="1"/>
        <c:lblOffset val="100"/>
        <c:tickLblSkip val="1"/>
        <c:noMultiLvlLbl val="0"/>
      </c:catAx>
      <c:valAx>
        <c:axId val="501397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7108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6"/>
                <c:pt idx="0">
                  <c:v>13881</c:v>
                </c:pt>
                <c:pt idx="1">
                  <c:v>8729.1</c:v>
                </c:pt>
                <c:pt idx="2">
                  <c:v>10.9</c:v>
                </c:pt>
                <c:pt idx="3">
                  <c:v>189.7</c:v>
                </c:pt>
                <c:pt idx="4">
                  <c:v>709.9</c:v>
                </c:pt>
                <c:pt idx="5">
                  <c:v>4241.400000000001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6"/>
                <c:pt idx="0">
                  <c:v>1442.7</c:v>
                </c:pt>
                <c:pt idx="1">
                  <c:v>922.3999999999999</c:v>
                </c:pt>
                <c:pt idx="3">
                  <c:v>1.7</c:v>
                </c:pt>
                <c:pt idx="4">
                  <c:v>105.69999999999999</c:v>
                </c:pt>
                <c:pt idx="5">
                  <c:v>412.9000000000002</c:v>
                </c:pt>
              </c:numCache>
            </c:numRef>
          </c:val>
          <c:shape val="box"/>
        </c:ser>
        <c:shape val="box"/>
        <c:axId val="48604468"/>
        <c:axId val="34787029"/>
      </c:bar3DChart>
      <c:catAx>
        <c:axId val="486044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4787029"/>
        <c:crosses val="autoZero"/>
        <c:auto val="1"/>
        <c:lblOffset val="100"/>
        <c:tickLblSkip val="2"/>
        <c:noMultiLvlLbl val="0"/>
      </c:catAx>
      <c:valAx>
        <c:axId val="347870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6044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5"/>
                <c:pt idx="0">
                  <c:v>3033.3</c:v>
                </c:pt>
                <c:pt idx="1">
                  <c:v>1426.1</c:v>
                </c:pt>
                <c:pt idx="2">
                  <c:v>420.8</c:v>
                </c:pt>
                <c:pt idx="3">
                  <c:v>728.9</c:v>
                </c:pt>
                <c:pt idx="4">
                  <c:v>457.50000000000034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5"/>
                <c:pt idx="0">
                  <c:v>Молодь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Трансферти населенню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5"/>
                <c:pt idx="0">
                  <c:v>226.59999999999997</c:v>
                </c:pt>
                <c:pt idx="1">
                  <c:v>140.89999999999998</c:v>
                </c:pt>
                <c:pt idx="2">
                  <c:v>57.4</c:v>
                </c:pt>
                <c:pt idx="4">
                  <c:v>28.29999999999999</c:v>
                </c:pt>
              </c:numCache>
            </c:numRef>
          </c:val>
          <c:shape val="box"/>
        </c:ser>
        <c:shape val="box"/>
        <c:axId val="44647806"/>
        <c:axId val="66285935"/>
      </c:bar3DChart>
      <c:catAx>
        <c:axId val="446478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285935"/>
        <c:crosses val="autoZero"/>
        <c:auto val="1"/>
        <c:lblOffset val="100"/>
        <c:tickLblSkip val="1"/>
        <c:noMultiLvlLbl val="0"/>
      </c:catAx>
      <c:valAx>
        <c:axId val="662859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64780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6872.5</c:v>
                </c:pt>
              </c:numCache>
            </c:numRef>
          </c:val>
          <c:shape val="box"/>
        </c:ser>
        <c:shape val="box"/>
        <c:axId val="59702504"/>
        <c:axId val="451625"/>
      </c:bar3DChart>
      <c:catAx>
        <c:axId val="59702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451625"/>
        <c:crosses val="autoZero"/>
        <c:auto val="1"/>
        <c:lblOffset val="100"/>
        <c:tickLblSkip val="1"/>
        <c:noMultiLvlLbl val="0"/>
      </c:catAx>
      <c:valAx>
        <c:axId val="45162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702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336144.8</c:v>
                </c:pt>
                <c:pt idx="1">
                  <c:v>225678.2</c:v>
                </c:pt>
                <c:pt idx="2">
                  <c:v>41831.7</c:v>
                </c:pt>
                <c:pt idx="3">
                  <c:v>13881</c:v>
                </c:pt>
                <c:pt idx="4">
                  <c:v>3033.3</c:v>
                </c:pt>
                <c:pt idx="5">
                  <c:v>47925.9</c:v>
                </c:pt>
                <c:pt idx="6">
                  <c:v>48638.3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31509.90000000001</c:v>
                </c:pt>
                <c:pt idx="1">
                  <c:v>20724.399999999998</c:v>
                </c:pt>
                <c:pt idx="2">
                  <c:v>4735.999999999999</c:v>
                </c:pt>
                <c:pt idx="3">
                  <c:v>1442.7</c:v>
                </c:pt>
                <c:pt idx="4">
                  <c:v>226.59999999999997</c:v>
                </c:pt>
                <c:pt idx="5">
                  <c:v>4544.299999999999</c:v>
                </c:pt>
                <c:pt idx="6">
                  <c:v>6872.5</c:v>
                </c:pt>
              </c:numCache>
            </c:numRef>
          </c:val>
          <c:shape val="box"/>
        </c:ser>
        <c:shape val="box"/>
        <c:axId val="4064626"/>
        <c:axId val="36581635"/>
      </c:bar3DChart>
      <c:catAx>
        <c:axId val="40646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581635"/>
        <c:crosses val="autoZero"/>
        <c:auto val="1"/>
        <c:lblOffset val="100"/>
        <c:tickLblSkip val="1"/>
        <c:noMultiLvlLbl val="0"/>
      </c:catAx>
      <c:valAx>
        <c:axId val="365816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6462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фінансування'!$C$145:$C$150</c:f>
              <c:numCache>
                <c:ptCount val="6"/>
                <c:pt idx="0">
                  <c:v>507335.6</c:v>
                </c:pt>
                <c:pt idx="1">
                  <c:v>96283.59999999999</c:v>
                </c:pt>
                <c:pt idx="2">
                  <c:v>25001.3</c:v>
                </c:pt>
                <c:pt idx="3">
                  <c:v>7627.299999999999</c:v>
                </c:pt>
                <c:pt idx="4">
                  <c:v>12548.400000000001</c:v>
                </c:pt>
                <c:pt idx="5">
                  <c:v>241682.10000000012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фінансування'!$A$145:$A$150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фінансування'!$D$145:$D$150</c:f>
              <c:numCache>
                <c:ptCount val="6"/>
                <c:pt idx="0">
                  <c:v>54704.100000000006</c:v>
                </c:pt>
                <c:pt idx="1">
                  <c:v>4329.700000000001</c:v>
                </c:pt>
                <c:pt idx="2">
                  <c:v>2534.1000000000004</c:v>
                </c:pt>
                <c:pt idx="3">
                  <c:v>580.0999999999999</c:v>
                </c:pt>
                <c:pt idx="4">
                  <c:v>106.1</c:v>
                </c:pt>
                <c:pt idx="5">
                  <c:v>14138.399999999992</c:v>
                </c:pt>
              </c:numCache>
            </c:numRef>
          </c:val>
          <c:shape val="box"/>
        </c:ser>
        <c:shape val="box"/>
        <c:axId val="60799260"/>
        <c:axId val="10322429"/>
      </c:bar3DChart>
      <c:catAx>
        <c:axId val="607992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0322429"/>
        <c:crosses val="autoZero"/>
        <c:auto val="1"/>
        <c:lblOffset val="100"/>
        <c:tickLblSkip val="1"/>
        <c:noMultiLvlLbl val="0"/>
      </c:catAx>
      <c:valAx>
        <c:axId val="1032242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7992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0"/>
  <sheetViews>
    <sheetView tabSelected="1" view="pageBreakPreview" zoomScale="80" zoomScaleNormal="75" zoomScaleSheetLayoutView="80" zoomScalePageLayoutView="0" workbookViewId="0" topLeftCell="A1">
      <pane xSplit="1" ySplit="5" topLeftCell="B132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43" sqref="D143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50" t="s">
        <v>115</v>
      </c>
      <c r="B1" s="150"/>
      <c r="C1" s="150"/>
      <c r="D1" s="150"/>
      <c r="E1" s="150"/>
      <c r="F1" s="150"/>
      <c r="G1" s="150"/>
      <c r="H1" s="150"/>
      <c r="I1" s="150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54" t="s">
        <v>50</v>
      </c>
      <c r="B3" s="151" t="s">
        <v>112</v>
      </c>
      <c r="C3" s="151" t="s">
        <v>104</v>
      </c>
      <c r="D3" s="151" t="s">
        <v>29</v>
      </c>
      <c r="E3" s="151" t="s">
        <v>28</v>
      </c>
      <c r="F3" s="151" t="s">
        <v>113</v>
      </c>
      <c r="G3" s="151" t="s">
        <v>105</v>
      </c>
      <c r="H3" s="151" t="s">
        <v>114</v>
      </c>
      <c r="I3" s="151" t="s">
        <v>106</v>
      </c>
    </row>
    <row r="4" spans="1:9" ht="24.75" customHeight="1">
      <c r="A4" s="155"/>
      <c r="B4" s="152"/>
      <c r="C4" s="152"/>
      <c r="D4" s="152"/>
      <c r="E4" s="152"/>
      <c r="F4" s="152"/>
      <c r="G4" s="152"/>
      <c r="H4" s="152"/>
      <c r="I4" s="152"/>
    </row>
    <row r="5" spans="1:9" ht="39" customHeight="1" thickBot="1">
      <c r="A5" s="156"/>
      <c r="B5" s="153"/>
      <c r="C5" s="153"/>
      <c r="D5" s="153"/>
      <c r="E5" s="153"/>
      <c r="F5" s="153"/>
      <c r="G5" s="153"/>
      <c r="H5" s="153"/>
      <c r="I5" s="153"/>
    </row>
    <row r="6" spans="1:9" ht="18.75" thickBot="1">
      <c r="A6" s="28" t="s">
        <v>34</v>
      </c>
      <c r="B6" s="52">
        <f>87150.2+752.3</f>
        <v>87902.5</v>
      </c>
      <c r="C6" s="53">
        <f>336144.8+1363.8</f>
        <v>337508.6</v>
      </c>
      <c r="D6" s="54">
        <f>3778.8+318.6+74.4+4544.7+5310.3+2.2+304.5+4240.2+102.2+2722+99+59+395.4+13.7+14.4+157.5+8732.6+280+12.7+55.8+291.9+43.3+10050.8+2416.1+355.4+689.6+5369.4+293+783.8+2363.8+0.2+8052.3+0.2+852.1+1727.8+670.8</f>
        <v>65178.500000000015</v>
      </c>
      <c r="E6" s="3">
        <f>D6/D144*100</f>
        <v>38.31151540871945</v>
      </c>
      <c r="F6" s="3">
        <f>D6/B6*100</f>
        <v>74.1486305850232</v>
      </c>
      <c r="G6" s="3">
        <f aca="true" t="shared" si="0" ref="G6:G43">D6/C6*100</f>
        <v>19.31165605854192</v>
      </c>
      <c r="H6" s="3">
        <f>B6-D6</f>
        <v>22723.999999999985</v>
      </c>
      <c r="I6" s="3">
        <f aca="true" t="shared" si="1" ref="I6:I43">C6-D6</f>
        <v>272330.1</v>
      </c>
    </row>
    <row r="7" spans="1:9" s="44" customFormat="1" ht="18.75">
      <c r="A7" s="119" t="s">
        <v>107</v>
      </c>
      <c r="B7" s="120">
        <v>39940</v>
      </c>
      <c r="C7" s="121">
        <v>179936.4</v>
      </c>
      <c r="D7" s="122">
        <f>17278.1+34.8+43.3+5046.6+1441.7+293+463.5+4876.3+308.3+631.3</f>
        <v>30416.899999999994</v>
      </c>
      <c r="E7" s="123">
        <f>D7/D6*100</f>
        <v>46.6670757995351</v>
      </c>
      <c r="F7" s="108">
        <f>D7/B7*100</f>
        <v>76.15648472709063</v>
      </c>
      <c r="G7" s="108">
        <f>D7/C7*100</f>
        <v>16.904250612994367</v>
      </c>
      <c r="H7" s="108">
        <f>B7-D7</f>
        <v>9523.100000000006</v>
      </c>
      <c r="I7" s="108">
        <f t="shared" si="1"/>
        <v>149519.5</v>
      </c>
    </row>
    <row r="8" spans="1:9" ht="18">
      <c r="A8" s="29" t="s">
        <v>3</v>
      </c>
      <c r="B8" s="49">
        <v>60816.2</v>
      </c>
      <c r="C8" s="50">
        <v>251964.7</v>
      </c>
      <c r="D8" s="51">
        <f>2656.8+4544.7+5310.3+304.5+4240.2+2115.7+0.5+13.7+8260.2+9928.8+1441.7+7980.3</f>
        <v>46797.4</v>
      </c>
      <c r="E8" s="1">
        <f>D8/D6*100</f>
        <v>71.79882936858012</v>
      </c>
      <c r="F8" s="1">
        <f>D8/B8*100</f>
        <v>76.94890506148033</v>
      </c>
      <c r="G8" s="1">
        <f t="shared" si="0"/>
        <v>18.572998519237018</v>
      </c>
      <c r="H8" s="1">
        <f>B8-D8</f>
        <v>14018.799999999996</v>
      </c>
      <c r="I8" s="1">
        <f t="shared" si="1"/>
        <v>205167.30000000002</v>
      </c>
    </row>
    <row r="9" spans="1:9" ht="18">
      <c r="A9" s="29" t="s">
        <v>2</v>
      </c>
      <c r="B9" s="49">
        <v>2.3</v>
      </c>
      <c r="C9" s="50">
        <v>45.2</v>
      </c>
      <c r="D9" s="51">
        <f>0.3</f>
        <v>0.3</v>
      </c>
      <c r="E9" s="12">
        <f>D9/D6*100</f>
        <v>0.0004602744770131254</v>
      </c>
      <c r="F9" s="149">
        <f>D9/B9*100</f>
        <v>13.043478260869565</v>
      </c>
      <c r="G9" s="1">
        <f t="shared" si="0"/>
        <v>0.663716814159292</v>
      </c>
      <c r="H9" s="1">
        <f aca="true" t="shared" si="2" ref="H9:H43">B9-D9</f>
        <v>1.9999999999999998</v>
      </c>
      <c r="I9" s="1">
        <f t="shared" si="1"/>
        <v>44.900000000000006</v>
      </c>
    </row>
    <row r="10" spans="1:9" ht="18">
      <c r="A10" s="29" t="s">
        <v>1</v>
      </c>
      <c r="B10" s="49">
        <v>5309.6</v>
      </c>
      <c r="C10" s="50">
        <f>21498.1+611.5</f>
        <v>22109.6</v>
      </c>
      <c r="D10" s="55">
        <f>391.1+295.4+72.7+84.3+268.2+68.6+39+308.5+154.7+328.1+203.3+53.9+39.8+25.1+104.1+11.5+21.9+15+581+50.5+202+8.2+203.8</f>
        <v>3530.7000000000003</v>
      </c>
      <c r="E10" s="1">
        <f>D10/D6*100</f>
        <v>5.416970319967474</v>
      </c>
      <c r="F10" s="1">
        <f aca="true" t="shared" si="3" ref="F10:F41">D10/B10*100</f>
        <v>66.496534578876</v>
      </c>
      <c r="G10" s="1">
        <f t="shared" si="0"/>
        <v>15.96908130404892</v>
      </c>
      <c r="H10" s="1">
        <f t="shared" si="2"/>
        <v>1778.9</v>
      </c>
      <c r="I10" s="1">
        <f t="shared" si="1"/>
        <v>18578.899999999998</v>
      </c>
    </row>
    <row r="11" spans="1:9" ht="18">
      <c r="A11" s="29" t="s">
        <v>0</v>
      </c>
      <c r="B11" s="49">
        <f>20361-56.7</f>
        <v>20304.3</v>
      </c>
      <c r="C11" s="50">
        <v>59404.7</v>
      </c>
      <c r="D11" s="56">
        <f>710.3+17.9+0.2+17+333.3+17.1+16+76.8+12.9+141.2+71+247.3+17.2+2.5+2414.8+355.4+677.9+3904.9+275.6+783.8+1761.8+627.5+1607.1+421.9</f>
        <v>14511.399999999998</v>
      </c>
      <c r="E11" s="1">
        <f>D11/D6*100</f>
        <v>22.264090152427556</v>
      </c>
      <c r="F11" s="1">
        <f t="shared" si="3"/>
        <v>71.46959018533019</v>
      </c>
      <c r="G11" s="1">
        <f t="shared" si="0"/>
        <v>24.428033472099006</v>
      </c>
      <c r="H11" s="1">
        <f t="shared" si="2"/>
        <v>5792.9000000000015</v>
      </c>
      <c r="I11" s="1">
        <f t="shared" si="1"/>
        <v>44893.3</v>
      </c>
    </row>
    <row r="12" spans="1:9" ht="18">
      <c r="A12" s="29" t="s">
        <v>15</v>
      </c>
      <c r="B12" s="49">
        <v>28.3</v>
      </c>
      <c r="C12" s="50">
        <v>286.2</v>
      </c>
      <c r="D12" s="51">
        <f>3.8+3.8+12.7+7.4</f>
        <v>27.699999999999996</v>
      </c>
      <c r="E12" s="1">
        <f>D12/D6*100</f>
        <v>0.04249867671087857</v>
      </c>
      <c r="F12" s="1">
        <f t="shared" si="3"/>
        <v>97.8798586572438</v>
      </c>
      <c r="G12" s="1">
        <f t="shared" si="0"/>
        <v>9.678546470999299</v>
      </c>
      <c r="H12" s="1">
        <f t="shared" si="2"/>
        <v>0.600000000000005</v>
      </c>
      <c r="I12" s="1">
        <f t="shared" si="1"/>
        <v>258.5</v>
      </c>
    </row>
    <row r="13" spans="1:9" ht="18.75" thickBot="1">
      <c r="A13" s="29" t="s">
        <v>35</v>
      </c>
      <c r="B13" s="50">
        <f>B6-B8-B9-B10-B11-B12</f>
        <v>1441.8000000000022</v>
      </c>
      <c r="C13" s="50">
        <f>C6-C8-C9-C10-C11-C12</f>
        <v>3698.1999999999725</v>
      </c>
      <c r="D13" s="50">
        <f>D6-D8-D9-D10-D11-D12</f>
        <v>311.0000000000153</v>
      </c>
      <c r="E13" s="1">
        <f>D13/D6*100</f>
        <v>0.47715120783696346</v>
      </c>
      <c r="F13" s="1">
        <f t="shared" si="3"/>
        <v>21.57025939797578</v>
      </c>
      <c r="G13" s="1">
        <f t="shared" si="0"/>
        <v>8.409496511817036</v>
      </c>
      <c r="H13" s="1">
        <f t="shared" si="2"/>
        <v>1130.799999999987</v>
      </c>
      <c r="I13" s="1">
        <f t="shared" si="1"/>
        <v>3387.199999999957</v>
      </c>
    </row>
    <row r="14" spans="1:9" s="44" customFormat="1" ht="18.75" customHeight="1" hidden="1">
      <c r="A14" s="109" t="s">
        <v>82</v>
      </c>
      <c r="B14" s="107"/>
      <c r="C14" s="107"/>
      <c r="D14" s="107"/>
      <c r="E14" s="108"/>
      <c r="F14" s="108" t="e">
        <f>D14/B14*100</f>
        <v>#DIV/0!</v>
      </c>
      <c r="G14" s="108" t="e">
        <f>D14/C14*100</f>
        <v>#DIV/0!</v>
      </c>
      <c r="H14" s="108">
        <f>B14-D14</f>
        <v>0</v>
      </c>
      <c r="I14" s="108">
        <f>C14-D14</f>
        <v>0</v>
      </c>
    </row>
    <row r="15" spans="1:9" s="44" customFormat="1" ht="18.75" customHeight="1" hidden="1">
      <c r="A15" s="109" t="s">
        <v>79</v>
      </c>
      <c r="B15" s="107"/>
      <c r="C15" s="107"/>
      <c r="D15" s="107"/>
      <c r="E15" s="108"/>
      <c r="F15" s="108" t="e">
        <f>D15/B15*100</f>
        <v>#DIV/0!</v>
      </c>
      <c r="G15" s="108" t="e">
        <f>D15/C15*100</f>
        <v>#DIV/0!</v>
      </c>
      <c r="H15" s="108">
        <f>B15-D15</f>
        <v>0</v>
      </c>
      <c r="I15" s="108">
        <f>C15-D15</f>
        <v>0</v>
      </c>
    </row>
    <row r="16" spans="1:9" s="44" customFormat="1" ht="19.5" hidden="1" thickBot="1">
      <c r="A16" s="109" t="s">
        <v>80</v>
      </c>
      <c r="B16" s="107"/>
      <c r="C16" s="107"/>
      <c r="D16" s="107"/>
      <c r="E16" s="108"/>
      <c r="F16" s="108" t="e">
        <f>D16/B16*100</f>
        <v>#DIV/0!</v>
      </c>
      <c r="G16" s="108" t="e">
        <f>D16/C16*100</f>
        <v>#DIV/0!</v>
      </c>
      <c r="H16" s="108">
        <f>B16-D16</f>
        <v>0</v>
      </c>
      <c r="I16" s="108">
        <f>C16-D16</f>
        <v>0</v>
      </c>
    </row>
    <row r="17" spans="1:9" s="44" customFormat="1" ht="19.5" hidden="1" thickBot="1">
      <c r="A17" s="109" t="s">
        <v>81</v>
      </c>
      <c r="B17" s="107"/>
      <c r="C17" s="107"/>
      <c r="D17" s="107"/>
      <c r="E17" s="108"/>
      <c r="F17" s="108" t="e">
        <f>D17/B17*100</f>
        <v>#DIV/0!</v>
      </c>
      <c r="G17" s="108" t="e">
        <f>D17/C17*100</f>
        <v>#DIV/0!</v>
      </c>
      <c r="H17" s="108">
        <f>B17-D17</f>
        <v>0</v>
      </c>
      <c r="I17" s="108">
        <f>C17-D17</f>
        <v>0</v>
      </c>
    </row>
    <row r="18" spans="1:9" ht="18.75" thickBot="1">
      <c r="A18" s="28" t="s">
        <v>23</v>
      </c>
      <c r="B18" s="52">
        <f>48458.9+490.7</f>
        <v>48949.6</v>
      </c>
      <c r="C18" s="53">
        <f>225678.2+490.7</f>
        <v>226168.90000000002</v>
      </c>
      <c r="D18" s="54">
        <f>5164.3+574.5+4623.4+2805.2+358.8+626.5+552.8+632.3+5118.8+101.4+166.3+0.1+1058.1+4.5+4222.3+101.4+4273.5+934.6+5187.7+0.2+1536.8+16</f>
        <v>38059.49999999999</v>
      </c>
      <c r="E18" s="3">
        <f>D18/D144*100</f>
        <v>22.37113650510763</v>
      </c>
      <c r="F18" s="3">
        <f>D18/B18*100</f>
        <v>77.75242290028926</v>
      </c>
      <c r="G18" s="3">
        <f t="shared" si="0"/>
        <v>16.827910468680702</v>
      </c>
      <c r="H18" s="3">
        <f>B18-D18</f>
        <v>10890.100000000006</v>
      </c>
      <c r="I18" s="3">
        <f t="shared" si="1"/>
        <v>188109.40000000002</v>
      </c>
    </row>
    <row r="19" spans="1:9" s="44" customFormat="1" ht="18.75">
      <c r="A19" s="119" t="s">
        <v>108</v>
      </c>
      <c r="B19" s="120">
        <v>46624.9</v>
      </c>
      <c r="C19" s="121">
        <v>186519.2</v>
      </c>
      <c r="D19" s="122">
        <f>20724.4+1058.1+4.5+4107.3+4273.5+909.7+5187.7+0.2</f>
        <v>36265.399999999994</v>
      </c>
      <c r="E19" s="123">
        <f>D19/D18*100</f>
        <v>95.28606523995323</v>
      </c>
      <c r="F19" s="108">
        <f t="shared" si="3"/>
        <v>77.78118558967418</v>
      </c>
      <c r="G19" s="108">
        <f t="shared" si="0"/>
        <v>19.44325302703421</v>
      </c>
      <c r="H19" s="108">
        <f t="shared" si="2"/>
        <v>10359.500000000007</v>
      </c>
      <c r="I19" s="108">
        <f t="shared" si="1"/>
        <v>150253.80000000002</v>
      </c>
    </row>
    <row r="20" spans="1:9" ht="18">
      <c r="A20" s="29" t="s">
        <v>5</v>
      </c>
      <c r="B20" s="49">
        <v>36394.5</v>
      </c>
      <c r="C20" s="50">
        <v>169195.9</v>
      </c>
      <c r="D20" s="51">
        <f>5164.3+574.5+4352.6-225.6+2461.2+632.3+5026.9+4104.6-0.1+3875.3+3989.4</f>
        <v>29955.399999999998</v>
      </c>
      <c r="E20" s="1">
        <f>D20/D18*100</f>
        <v>78.70676178089572</v>
      </c>
      <c r="F20" s="1">
        <f t="shared" si="3"/>
        <v>82.30749151657531</v>
      </c>
      <c r="G20" s="1">
        <f t="shared" si="0"/>
        <v>17.704566127193388</v>
      </c>
      <c r="H20" s="1">
        <f t="shared" si="2"/>
        <v>6439.100000000002</v>
      </c>
      <c r="I20" s="1">
        <f t="shared" si="1"/>
        <v>139240.5</v>
      </c>
    </row>
    <row r="21" spans="1:9" ht="18">
      <c r="A21" s="29" t="s">
        <v>2</v>
      </c>
      <c r="B21" s="49">
        <v>2510.2</v>
      </c>
      <c r="C21" s="50">
        <v>12491.1</v>
      </c>
      <c r="D21" s="51">
        <f>11+1.8+42.7+3+47.6+40.1+0.7+2.5+101.4-0.1+82.5+53+0.2+1536.8</f>
        <v>1923.1999999999998</v>
      </c>
      <c r="E21" s="1">
        <f>D21/D18*100</f>
        <v>5.053140477410372</v>
      </c>
      <c r="F21" s="1">
        <f t="shared" si="3"/>
        <v>76.61540913074654</v>
      </c>
      <c r="G21" s="1">
        <f t="shared" si="0"/>
        <v>15.396562352394902</v>
      </c>
      <c r="H21" s="1">
        <f t="shared" si="2"/>
        <v>587</v>
      </c>
      <c r="I21" s="1">
        <f t="shared" si="1"/>
        <v>10567.900000000001</v>
      </c>
    </row>
    <row r="22" spans="1:9" ht="18">
      <c r="A22" s="29" t="s">
        <v>1</v>
      </c>
      <c r="B22" s="49">
        <v>749.4</v>
      </c>
      <c r="C22" s="50">
        <v>3253.3</v>
      </c>
      <c r="D22" s="51">
        <f>173.9+19+7.6+19.5+89.8+0.1+92.4+48.6</f>
        <v>450.9000000000001</v>
      </c>
      <c r="E22" s="1">
        <f>D22/D18*100</f>
        <v>1.184723919126631</v>
      </c>
      <c r="F22" s="1">
        <f t="shared" si="3"/>
        <v>60.1681345076061</v>
      </c>
      <c r="G22" s="1">
        <f t="shared" si="0"/>
        <v>13.85977315341346</v>
      </c>
      <c r="H22" s="1">
        <f t="shared" si="2"/>
        <v>298.4999999999999</v>
      </c>
      <c r="I22" s="1">
        <f t="shared" si="1"/>
        <v>2802.4</v>
      </c>
    </row>
    <row r="23" spans="1:9" ht="18">
      <c r="A23" s="29" t="s">
        <v>0</v>
      </c>
      <c r="B23" s="49">
        <v>5612.6</v>
      </c>
      <c r="C23" s="50">
        <v>24676.2</v>
      </c>
      <c r="D23" s="51">
        <f>96.9+173.9+611.9+463.4+109.9+698.9+114.7+0.2+702.4+1027.2</f>
        <v>3999.3999999999996</v>
      </c>
      <c r="E23" s="1">
        <f>D23/D18*100</f>
        <v>10.508283083067303</v>
      </c>
      <c r="F23" s="1">
        <f t="shared" si="3"/>
        <v>71.2575277055197</v>
      </c>
      <c r="G23" s="1">
        <f t="shared" si="0"/>
        <v>16.207519796403012</v>
      </c>
      <c r="H23" s="1">
        <f t="shared" si="2"/>
        <v>1613.2000000000007</v>
      </c>
      <c r="I23" s="1">
        <f t="shared" si="1"/>
        <v>20676.800000000003</v>
      </c>
    </row>
    <row r="24" spans="1:9" ht="18">
      <c r="A24" s="29" t="s">
        <v>15</v>
      </c>
      <c r="B24" s="49">
        <v>360.9</v>
      </c>
      <c r="C24" s="50">
        <v>1528.1</v>
      </c>
      <c r="D24" s="51">
        <f>111+58.1</f>
        <v>169.1</v>
      </c>
      <c r="E24" s="1">
        <f>D24/D18*100</f>
        <v>0.44430431298361783</v>
      </c>
      <c r="F24" s="1">
        <f t="shared" si="3"/>
        <v>46.85508451094486</v>
      </c>
      <c r="G24" s="1">
        <f t="shared" si="0"/>
        <v>11.066029710097506</v>
      </c>
      <c r="H24" s="1">
        <f t="shared" si="2"/>
        <v>191.79999999999998</v>
      </c>
      <c r="I24" s="1">
        <f t="shared" si="1"/>
        <v>1359</v>
      </c>
    </row>
    <row r="25" spans="1:9" ht="18.75" thickBot="1">
      <c r="A25" s="29" t="s">
        <v>35</v>
      </c>
      <c r="B25" s="50">
        <f>B18-B20-B21-B22-B23-B24</f>
        <v>3321.9999999999977</v>
      </c>
      <c r="C25" s="50">
        <f>C18-C20-C21-C22-C23-C24</f>
        <v>15024.300000000027</v>
      </c>
      <c r="D25" s="50">
        <f>D18-D20-D21-D22-D23-D24</f>
        <v>1561.499999999995</v>
      </c>
      <c r="E25" s="1">
        <f>D25/D18*100</f>
        <v>4.102786426516363</v>
      </c>
      <c r="F25" s="1">
        <f t="shared" si="3"/>
        <v>47.00481637567718</v>
      </c>
      <c r="G25" s="1">
        <f t="shared" si="0"/>
        <v>10.393163075817125</v>
      </c>
      <c r="H25" s="1">
        <f t="shared" si="2"/>
        <v>1760.5000000000027</v>
      </c>
      <c r="I25" s="1">
        <f t="shared" si="1"/>
        <v>13462.800000000032</v>
      </c>
    </row>
    <row r="26" spans="1:9" ht="57" hidden="1" thickBot="1">
      <c r="A26" s="109" t="s">
        <v>90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6.75" customHeight="1" hidden="1">
      <c r="A27" s="109" t="s">
        <v>91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19.5" hidden="1" thickBot="1">
      <c r="A28" s="109" t="s">
        <v>92</v>
      </c>
      <c r="B28" s="50"/>
      <c r="C28" s="50"/>
      <c r="D28" s="50"/>
      <c r="E28" s="1"/>
      <c r="F28" s="1" t="e">
        <f t="shared" si="3"/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9.75" customHeight="1" hidden="1">
      <c r="A29" s="109" t="s">
        <v>93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37.5" customHeight="1" hidden="1">
      <c r="A30" s="109" t="s">
        <v>94</v>
      </c>
      <c r="B30" s="50"/>
      <c r="C30" s="50"/>
      <c r="D30" s="50"/>
      <c r="E30" s="1"/>
      <c r="F30" s="1" t="e">
        <f>D30/B30*100</f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36" customHeight="1" hidden="1">
      <c r="A31" s="109" t="s">
        <v>95</v>
      </c>
      <c r="B31" s="50"/>
      <c r="C31" s="50"/>
      <c r="D31" s="50"/>
      <c r="E31" s="1"/>
      <c r="F31" s="1" t="e">
        <f t="shared" si="3"/>
        <v>#DIV/0!</v>
      </c>
      <c r="G31" s="1" t="e">
        <f t="shared" si="0"/>
        <v>#DIV/0!</v>
      </c>
      <c r="H31" s="1">
        <f t="shared" si="2"/>
        <v>0</v>
      </c>
      <c r="I31" s="1">
        <f t="shared" si="1"/>
        <v>0</v>
      </c>
    </row>
    <row r="32" spans="1:9" ht="19.5" hidden="1" thickBot="1">
      <c r="A32" s="109" t="s">
        <v>96</v>
      </c>
      <c r="B32" s="50"/>
      <c r="C32" s="50"/>
      <c r="D32" s="50"/>
      <c r="E32" s="1"/>
      <c r="F32" s="1" t="e">
        <f t="shared" si="3"/>
        <v>#DIV/0!</v>
      </c>
      <c r="G32" s="1" t="e">
        <f t="shared" si="0"/>
        <v>#DIV/0!</v>
      </c>
      <c r="H32" s="1">
        <f t="shared" si="2"/>
        <v>0</v>
      </c>
      <c r="I32" s="1">
        <f t="shared" si="1"/>
        <v>0</v>
      </c>
    </row>
    <row r="33" spans="1:9" ht="18.75" thickBot="1">
      <c r="A33" s="28" t="s">
        <v>18</v>
      </c>
      <c r="B33" s="52">
        <f>10874.5+164.1</f>
        <v>11038.6</v>
      </c>
      <c r="C33" s="53">
        <f>41831.7+164.1</f>
        <v>41995.799999999996</v>
      </c>
      <c r="D33" s="57">
        <f>1251.6+285.2+60+12.3+10.8+1064.6+3.2+0.1-0.1+22.2+396.9+163.2+73.2+1267+3.8+36.5+85.5+1249.9+29.3+7.7+421.4+118.5+23.8+204.6+104.2+1392.3+65.1+49.1+0.4+84.2+34+40.6</f>
        <v>8561.1</v>
      </c>
      <c r="E33" s="3">
        <f>D33/D144*100</f>
        <v>5.032161135429445</v>
      </c>
      <c r="F33" s="3">
        <f>D33/B33*100</f>
        <v>77.55603065606145</v>
      </c>
      <c r="G33" s="3">
        <f t="shared" si="0"/>
        <v>20.385609989570387</v>
      </c>
      <c r="H33" s="3">
        <f t="shared" si="2"/>
        <v>2477.5</v>
      </c>
      <c r="I33" s="3">
        <f t="shared" si="1"/>
        <v>33434.7</v>
      </c>
    </row>
    <row r="34" spans="1:9" ht="18">
      <c r="A34" s="29" t="s">
        <v>3</v>
      </c>
      <c r="B34" s="49">
        <v>7183.2</v>
      </c>
      <c r="C34" s="50">
        <v>29626.4</v>
      </c>
      <c r="D34" s="51">
        <f>1216.2+1064.6-0.1+1185.2+1240.8+0.1+1202.8</f>
        <v>5909.600000000001</v>
      </c>
      <c r="E34" s="1">
        <f>D34/D33*100</f>
        <v>69.02851269112615</v>
      </c>
      <c r="F34" s="1">
        <f t="shared" si="3"/>
        <v>82.26974050562426</v>
      </c>
      <c r="G34" s="1">
        <f t="shared" si="0"/>
        <v>19.947074231091193</v>
      </c>
      <c r="H34" s="1">
        <f t="shared" si="2"/>
        <v>1273.5999999999985</v>
      </c>
      <c r="I34" s="1">
        <f t="shared" si="1"/>
        <v>23716.8</v>
      </c>
    </row>
    <row r="35" spans="1:9" ht="18" hidden="1">
      <c r="A35" s="29" t="s">
        <v>1</v>
      </c>
      <c r="B35" s="49"/>
      <c r="C35" s="50"/>
      <c r="D35" s="51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1">
        <f t="shared" si="2"/>
        <v>0</v>
      </c>
      <c r="I35" s="1">
        <f t="shared" si="1"/>
        <v>0</v>
      </c>
    </row>
    <row r="36" spans="1:9" ht="18">
      <c r="A36" s="29" t="s">
        <v>0</v>
      </c>
      <c r="B36" s="49">
        <v>992.2</v>
      </c>
      <c r="C36" s="50">
        <v>2423.5</v>
      </c>
      <c r="D36" s="51">
        <f>6.5+2.8+10.2+0.8+23.6+67.7+80.5+1.3+36.1+6.9+3.3+7.6-0.1+154.9+32.2+23.8+2.3+86.1+23.3+3.4+0.7+1.8+4.8</f>
        <v>580.4999999999999</v>
      </c>
      <c r="E36" s="1">
        <f>D36/D33*100</f>
        <v>6.780670708203383</v>
      </c>
      <c r="F36" s="1">
        <f t="shared" si="3"/>
        <v>58.506349526305165</v>
      </c>
      <c r="G36" s="1">
        <f t="shared" si="0"/>
        <v>23.952960594181963</v>
      </c>
      <c r="H36" s="1">
        <f t="shared" si="2"/>
        <v>411.70000000000016</v>
      </c>
      <c r="I36" s="1">
        <f t="shared" si="1"/>
        <v>1843</v>
      </c>
    </row>
    <row r="37" spans="1:9" s="44" customFormat="1" ht="18.75">
      <c r="A37" s="23" t="s">
        <v>7</v>
      </c>
      <c r="B37" s="58">
        <f>118.3+22</f>
        <v>140.3</v>
      </c>
      <c r="C37" s="59">
        <f>493.5+22</f>
        <v>515.5</v>
      </c>
      <c r="D37" s="60">
        <f>19+12.3+0.1+11.9</f>
        <v>43.300000000000004</v>
      </c>
      <c r="E37" s="19">
        <f>D37/D33*100</f>
        <v>0.5057761268995806</v>
      </c>
      <c r="F37" s="19">
        <f t="shared" si="3"/>
        <v>30.862437633642198</v>
      </c>
      <c r="G37" s="19">
        <f t="shared" si="0"/>
        <v>8.399612027158101</v>
      </c>
      <c r="H37" s="19">
        <f t="shared" si="2"/>
        <v>97</v>
      </c>
      <c r="I37" s="19">
        <f t="shared" si="1"/>
        <v>472.2</v>
      </c>
    </row>
    <row r="38" spans="1:9" ht="18">
      <c r="A38" s="29" t="s">
        <v>15</v>
      </c>
      <c r="B38" s="49">
        <v>30.2</v>
      </c>
      <c r="C38" s="50">
        <v>47.2</v>
      </c>
      <c r="D38" s="50">
        <f>3.4+3.4+3.4</f>
        <v>10.2</v>
      </c>
      <c r="E38" s="1">
        <f>D38/D33*100</f>
        <v>0.1191435679994393</v>
      </c>
      <c r="F38" s="1">
        <f t="shared" si="3"/>
        <v>33.77483443708609</v>
      </c>
      <c r="G38" s="1">
        <f t="shared" si="0"/>
        <v>21.610169491525422</v>
      </c>
      <c r="H38" s="1">
        <f t="shared" si="2"/>
        <v>20</v>
      </c>
      <c r="I38" s="1">
        <f t="shared" si="1"/>
        <v>37</v>
      </c>
    </row>
    <row r="39" spans="1:9" ht="18.75" thickBot="1">
      <c r="A39" s="29" t="s">
        <v>35</v>
      </c>
      <c r="B39" s="49">
        <f>B33-B34-B36-B37-B35-B38</f>
        <v>2692.7000000000007</v>
      </c>
      <c r="C39" s="49">
        <f>C33-C34-C36-C37-C35-C38</f>
        <v>9383.199999999993</v>
      </c>
      <c r="D39" s="49">
        <f>D33-D34-D36-D37-D35-D38</f>
        <v>2017.499999999999</v>
      </c>
      <c r="E39" s="1">
        <f>D39/D33*100</f>
        <v>23.565896905771446</v>
      </c>
      <c r="F39" s="1">
        <f t="shared" si="3"/>
        <v>74.92479667248482</v>
      </c>
      <c r="G39" s="1">
        <f t="shared" si="0"/>
        <v>21.50119362264473</v>
      </c>
      <c r="H39" s="1">
        <f>B39-D39</f>
        <v>675.2000000000016</v>
      </c>
      <c r="I39" s="1">
        <f t="shared" si="1"/>
        <v>7365.699999999994</v>
      </c>
    </row>
    <row r="40" spans="1:9" ht="19.5" hidden="1" thickBot="1">
      <c r="A40" s="109" t="s">
        <v>87</v>
      </c>
      <c r="B40" s="110"/>
      <c r="C40" s="110"/>
      <c r="D40" s="110"/>
      <c r="E40" s="108"/>
      <c r="F40" s="108" t="e">
        <f t="shared" si="3"/>
        <v>#DIV/0!</v>
      </c>
      <c r="G40" s="108" t="e">
        <f t="shared" si="0"/>
        <v>#DIV/0!</v>
      </c>
      <c r="H40" s="108">
        <f>B40-D40</f>
        <v>0</v>
      </c>
      <c r="I40" s="108">
        <f t="shared" si="1"/>
        <v>0</v>
      </c>
    </row>
    <row r="41" spans="1:9" ht="19.5" hidden="1" thickBot="1">
      <c r="A41" s="109" t="s">
        <v>88</v>
      </c>
      <c r="B41" s="110"/>
      <c r="C41" s="110"/>
      <c r="D41" s="110"/>
      <c r="E41" s="108"/>
      <c r="F41" s="108" t="e">
        <f t="shared" si="3"/>
        <v>#DIV/0!</v>
      </c>
      <c r="G41" s="108" t="e">
        <f t="shared" si="0"/>
        <v>#DIV/0!</v>
      </c>
      <c r="H41" s="108">
        <f>B41-D41</f>
        <v>0</v>
      </c>
      <c r="I41" s="108">
        <f t="shared" si="1"/>
        <v>0</v>
      </c>
    </row>
    <row r="42" spans="1:9" ht="19.5" hidden="1" thickBot="1">
      <c r="A42" s="109" t="s">
        <v>89</v>
      </c>
      <c r="B42" s="110"/>
      <c r="C42" s="110"/>
      <c r="D42" s="110"/>
      <c r="E42" s="108"/>
      <c r="F42" s="108"/>
      <c r="G42" s="108" t="e">
        <f t="shared" si="0"/>
        <v>#DIV/0!</v>
      </c>
      <c r="H42" s="108">
        <f>B42-D42</f>
        <v>0</v>
      </c>
      <c r="I42" s="108">
        <f t="shared" si="1"/>
        <v>0</v>
      </c>
    </row>
    <row r="43" spans="1:9" ht="19.5" thickBot="1">
      <c r="A43" s="14" t="s">
        <v>17</v>
      </c>
      <c r="B43" s="111">
        <f>192.2+32.5</f>
        <v>224.7</v>
      </c>
      <c r="C43" s="53">
        <f>768.4+32.5</f>
        <v>800.9</v>
      </c>
      <c r="D43" s="54">
        <f>17.7+12.2+11.2</f>
        <v>41.099999999999994</v>
      </c>
      <c r="E43" s="3">
        <f>D43/D144*100</f>
        <v>0.024158323424110235</v>
      </c>
      <c r="F43" s="3">
        <f>D43/B43*100</f>
        <v>18.291054739652868</v>
      </c>
      <c r="G43" s="3">
        <f t="shared" si="0"/>
        <v>5.13172680734174</v>
      </c>
      <c r="H43" s="3">
        <f t="shared" si="2"/>
        <v>183.6</v>
      </c>
      <c r="I43" s="3">
        <f t="shared" si="1"/>
        <v>759.8</v>
      </c>
    </row>
    <row r="44" spans="1:9" ht="12" customHeight="1" thickBot="1">
      <c r="A44" s="31"/>
      <c r="B44" s="62"/>
      <c r="C44" s="63"/>
      <c r="D44" s="64"/>
      <c r="E44" s="7"/>
      <c r="F44" s="7"/>
      <c r="G44" s="7"/>
      <c r="H44" s="7"/>
      <c r="I44" s="7"/>
    </row>
    <row r="45" spans="1:9" ht="18.75" thickBot="1">
      <c r="A45" s="28" t="s">
        <v>55</v>
      </c>
      <c r="B45" s="52">
        <f>1674.7+87.1</f>
        <v>1761.8</v>
      </c>
      <c r="C45" s="53">
        <f>6659.3+87.1</f>
        <v>6746.400000000001</v>
      </c>
      <c r="D45" s="54">
        <f>193+223+8.7+101.1+200.9+9+241+299.2+7.6</f>
        <v>1283.4999999999998</v>
      </c>
      <c r="E45" s="3">
        <f>D45/D144*100</f>
        <v>0.7544332874658269</v>
      </c>
      <c r="F45" s="3">
        <f>D45/B45*100</f>
        <v>72.85162901577931</v>
      </c>
      <c r="G45" s="3">
        <f aca="true" t="shared" si="4" ref="G45:G75">D45/C45*100</f>
        <v>19.024961460927305</v>
      </c>
      <c r="H45" s="3">
        <f>B45-D45</f>
        <v>478.3000000000002</v>
      </c>
      <c r="I45" s="3">
        <f aca="true" t="shared" si="5" ref="I45:I76">C45-D45</f>
        <v>5462.900000000001</v>
      </c>
    </row>
    <row r="46" spans="1:9" ht="18">
      <c r="A46" s="29" t="s">
        <v>3</v>
      </c>
      <c r="B46" s="49">
        <v>1353.3</v>
      </c>
      <c r="C46" s="50">
        <v>5755.9</v>
      </c>
      <c r="D46" s="51">
        <f>193+222.7+1.6+196.4+240.9+0.1+199.7</f>
        <v>1054.4</v>
      </c>
      <c r="E46" s="1">
        <f>D46/D45*100</f>
        <v>82.15037008180758</v>
      </c>
      <c r="F46" s="1">
        <f aca="true" t="shared" si="6" ref="F46:F73">D46/B46*100</f>
        <v>77.91324909480531</v>
      </c>
      <c r="G46" s="1">
        <f t="shared" si="4"/>
        <v>18.31859483312775</v>
      </c>
      <c r="H46" s="1">
        <f aca="true" t="shared" si="7" ref="H46:H73">B46-D46</f>
        <v>298.89999999999986</v>
      </c>
      <c r="I46" s="1">
        <f t="shared" si="5"/>
        <v>4701.5</v>
      </c>
    </row>
    <row r="47" spans="1:9" ht="18">
      <c r="A47" s="29" t="s">
        <v>2</v>
      </c>
      <c r="B47" s="49">
        <v>0.3</v>
      </c>
      <c r="C47" s="50">
        <v>1.2</v>
      </c>
      <c r="D47" s="51"/>
      <c r="E47" s="1">
        <f>D47/D45*100</f>
        <v>0</v>
      </c>
      <c r="F47" s="1">
        <f t="shared" si="6"/>
        <v>0</v>
      </c>
      <c r="G47" s="1">
        <f t="shared" si="4"/>
        <v>0</v>
      </c>
      <c r="H47" s="1">
        <f t="shared" si="7"/>
        <v>0.3</v>
      </c>
      <c r="I47" s="1">
        <f t="shared" si="5"/>
        <v>1.2</v>
      </c>
    </row>
    <row r="48" spans="1:9" ht="18">
      <c r="A48" s="29" t="s">
        <v>1</v>
      </c>
      <c r="B48" s="49">
        <v>13.4</v>
      </c>
      <c r="C48" s="50">
        <v>60.2</v>
      </c>
      <c r="D48" s="51">
        <f>3.8+1+5.7</f>
        <v>10.5</v>
      </c>
      <c r="E48" s="1">
        <f>D48/D45*100</f>
        <v>0.8180755746007012</v>
      </c>
      <c r="F48" s="1">
        <f t="shared" si="6"/>
        <v>78.35820895522387</v>
      </c>
      <c r="G48" s="1">
        <f t="shared" si="4"/>
        <v>17.441860465116278</v>
      </c>
      <c r="H48" s="1">
        <f t="shared" si="7"/>
        <v>2.9000000000000004</v>
      </c>
      <c r="I48" s="1">
        <f t="shared" si="5"/>
        <v>49.7</v>
      </c>
    </row>
    <row r="49" spans="1:9" ht="18">
      <c r="A49" s="29" t="s">
        <v>0</v>
      </c>
      <c r="B49" s="49">
        <v>253.7</v>
      </c>
      <c r="C49" s="50">
        <v>538.3</v>
      </c>
      <c r="D49" s="51">
        <f>4.7+90.3+4.8+67.1+3.1</f>
        <v>169.99999999999997</v>
      </c>
      <c r="E49" s="1">
        <f>D49/D45*100</f>
        <v>13.245033112582782</v>
      </c>
      <c r="F49" s="1">
        <f t="shared" si="6"/>
        <v>67.00827749310209</v>
      </c>
      <c r="G49" s="1">
        <f t="shared" si="4"/>
        <v>31.580902842281255</v>
      </c>
      <c r="H49" s="1">
        <f t="shared" si="7"/>
        <v>83.70000000000002</v>
      </c>
      <c r="I49" s="1">
        <f t="shared" si="5"/>
        <v>368.29999999999995</v>
      </c>
    </row>
    <row r="50" spans="1:9" ht="18.75" thickBot="1">
      <c r="A50" s="29" t="s">
        <v>35</v>
      </c>
      <c r="B50" s="50">
        <f>B45-B46-B49-B48-B47</f>
        <v>141.1</v>
      </c>
      <c r="C50" s="50">
        <f>C45-C46-C49-C48-C47</f>
        <v>390.800000000001</v>
      </c>
      <c r="D50" s="50">
        <f>D45-D46-D49-D48-D47</f>
        <v>48.59999999999971</v>
      </c>
      <c r="E50" s="1">
        <f>D50/D45*100</f>
        <v>3.786521231008938</v>
      </c>
      <c r="F50" s="1">
        <f t="shared" si="6"/>
        <v>34.44365698086443</v>
      </c>
      <c r="G50" s="1">
        <f t="shared" si="4"/>
        <v>12.43602865916059</v>
      </c>
      <c r="H50" s="1">
        <f t="shared" si="7"/>
        <v>92.50000000000028</v>
      </c>
      <c r="I50" s="1">
        <f t="shared" si="5"/>
        <v>342.2000000000013</v>
      </c>
    </row>
    <row r="51" spans="1:9" ht="18.75" thickBot="1">
      <c r="A51" s="28" t="s">
        <v>4</v>
      </c>
      <c r="B51" s="52">
        <f>3553.8+326.7</f>
        <v>3880.5</v>
      </c>
      <c r="C51" s="53">
        <f>13881+326.7</f>
        <v>14207.7</v>
      </c>
      <c r="D51" s="54">
        <f>260.4+84.2+35.2+27.7+429.5+47.7+9.2+7.6+47.3+0.3+0.2+338.5+6.8+0.3+85+62.8+1.5+472.7+38.5+0.1+49.4+117.6+311.3+37+71.4+15</f>
        <v>2557.2000000000003</v>
      </c>
      <c r="E51" s="3">
        <f>D51/D144*100</f>
        <v>1.5031061961103336</v>
      </c>
      <c r="F51" s="3">
        <f>D51/B51*100</f>
        <v>65.89872439118672</v>
      </c>
      <c r="G51" s="3">
        <f t="shared" si="4"/>
        <v>17.99869085073587</v>
      </c>
      <c r="H51" s="3">
        <f>B51-D51</f>
        <v>1323.2999999999997</v>
      </c>
      <c r="I51" s="3">
        <f t="shared" si="5"/>
        <v>11650.5</v>
      </c>
    </row>
    <row r="52" spans="1:9" ht="18">
      <c r="A52" s="29" t="s">
        <v>3</v>
      </c>
      <c r="B52" s="49">
        <v>2042.1</v>
      </c>
      <c r="C52" s="50">
        <v>8729.1</v>
      </c>
      <c r="D52" s="51">
        <f>260.4+390.2+0.1+271.7+395.7-0.1+282.9</f>
        <v>1600.9</v>
      </c>
      <c r="E52" s="1">
        <f>D52/D51*100</f>
        <v>62.603628969185046</v>
      </c>
      <c r="F52" s="1">
        <f t="shared" si="6"/>
        <v>78.39478967729299</v>
      </c>
      <c r="G52" s="1">
        <f t="shared" si="4"/>
        <v>18.339805936465385</v>
      </c>
      <c r="H52" s="1">
        <f t="shared" si="7"/>
        <v>441.1999999999998</v>
      </c>
      <c r="I52" s="1">
        <f t="shared" si="5"/>
        <v>7128.200000000001</v>
      </c>
    </row>
    <row r="53" spans="1:9" ht="18">
      <c r="A53" s="29" t="s">
        <v>2</v>
      </c>
      <c r="B53" s="49">
        <v>0</v>
      </c>
      <c r="C53" s="50">
        <v>10.9</v>
      </c>
      <c r="D53" s="51"/>
      <c r="E53" s="1">
        <f>D53/D51*100</f>
        <v>0</v>
      </c>
      <c r="F53" s="117" t="e">
        <f t="shared" si="6"/>
        <v>#DIV/0!</v>
      </c>
      <c r="G53" s="1">
        <f t="shared" si="4"/>
        <v>0</v>
      </c>
      <c r="H53" s="1">
        <f t="shared" si="7"/>
        <v>0</v>
      </c>
      <c r="I53" s="1">
        <f t="shared" si="5"/>
        <v>10.9</v>
      </c>
    </row>
    <row r="54" spans="1:9" ht="18">
      <c r="A54" s="29" t="s">
        <v>1</v>
      </c>
      <c r="B54" s="49">
        <f>35.8+16.8</f>
        <v>52.599999999999994</v>
      </c>
      <c r="C54" s="50">
        <f>189.7+74</f>
        <v>263.7</v>
      </c>
      <c r="D54" s="51">
        <f>1.7+1.5+4.6</f>
        <v>7.8</v>
      </c>
      <c r="E54" s="1">
        <f>D54/D51*100</f>
        <v>0.30502111684655087</v>
      </c>
      <c r="F54" s="1">
        <f t="shared" si="6"/>
        <v>14.828897338403044</v>
      </c>
      <c r="G54" s="1">
        <f t="shared" si="4"/>
        <v>2.9579067121729237</v>
      </c>
      <c r="H54" s="1">
        <f t="shared" si="7"/>
        <v>44.8</v>
      </c>
      <c r="I54" s="1">
        <f t="shared" si="5"/>
        <v>255.89999999999998</v>
      </c>
    </row>
    <row r="55" spans="1:9" ht="18">
      <c r="A55" s="29" t="s">
        <v>0</v>
      </c>
      <c r="B55" s="49">
        <v>229.3</v>
      </c>
      <c r="C55" s="50">
        <v>709.9</v>
      </c>
      <c r="D55" s="51">
        <f>1.1+7.6+5.9+0.3+0.2+6.8+0.3+67.1+16.4-0.1+19.5+19.3</f>
        <v>144.4</v>
      </c>
      <c r="E55" s="1">
        <f>D55/D51*100</f>
        <v>5.64680118880025</v>
      </c>
      <c r="F55" s="1">
        <f t="shared" si="6"/>
        <v>62.97426951591801</v>
      </c>
      <c r="G55" s="1">
        <f t="shared" si="4"/>
        <v>20.340893083532894</v>
      </c>
      <c r="H55" s="1">
        <f t="shared" si="7"/>
        <v>84.9</v>
      </c>
      <c r="I55" s="1">
        <f t="shared" si="5"/>
        <v>565.5</v>
      </c>
    </row>
    <row r="56" spans="1:9" ht="18.75" thickBot="1">
      <c r="A56" s="29" t="s">
        <v>35</v>
      </c>
      <c r="B56" s="50">
        <f>B51-B52-B55-B54-B53</f>
        <v>1556.5000000000002</v>
      </c>
      <c r="C56" s="50">
        <f>C51-C52-C55-C54-C53</f>
        <v>4494.100000000001</v>
      </c>
      <c r="D56" s="50">
        <f>D51-D52-D55-D54-D53</f>
        <v>804.1000000000003</v>
      </c>
      <c r="E56" s="1">
        <f>D56/D51*100</f>
        <v>31.444548725168158</v>
      </c>
      <c r="F56" s="1">
        <f t="shared" si="6"/>
        <v>51.660777385159015</v>
      </c>
      <c r="G56" s="1">
        <f t="shared" si="4"/>
        <v>17.892347744820988</v>
      </c>
      <c r="H56" s="1">
        <f t="shared" si="7"/>
        <v>752.4</v>
      </c>
      <c r="I56" s="1">
        <f>C56-D56</f>
        <v>3690.000000000001</v>
      </c>
    </row>
    <row r="57" spans="1:9" s="44" customFormat="1" ht="19.5" hidden="1" thickBot="1">
      <c r="A57" s="109" t="s">
        <v>86</v>
      </c>
      <c r="B57" s="107"/>
      <c r="C57" s="107"/>
      <c r="D57" s="107"/>
      <c r="E57" s="1"/>
      <c r="F57" s="108" t="e">
        <f t="shared" si="6"/>
        <v>#DIV/0!</v>
      </c>
      <c r="G57" s="108" t="e">
        <f t="shared" si="4"/>
        <v>#DIV/0!</v>
      </c>
      <c r="H57" s="108">
        <f t="shared" si="7"/>
        <v>0</v>
      </c>
      <c r="I57" s="108">
        <f>C57-D57</f>
        <v>0</v>
      </c>
    </row>
    <row r="58" spans="1:9" ht="18.75" thickBot="1">
      <c r="A58" s="28" t="s">
        <v>6</v>
      </c>
      <c r="B58" s="52">
        <f>544.9+47.7</f>
        <v>592.6</v>
      </c>
      <c r="C58" s="53">
        <f>3033.3+2447.7</f>
        <v>5481</v>
      </c>
      <c r="D58" s="54">
        <f>36.1+65.6+6.5+0.4+1.3+60.3+3+39.2+0.1+14.1+69.1+5.2-0.1+1.8+81+43+6.1</f>
        <v>432.69999999999993</v>
      </c>
      <c r="E58" s="3">
        <f>D58/D144*100</f>
        <v>0.2543383587740268</v>
      </c>
      <c r="F58" s="3">
        <f>D58/B58*100</f>
        <v>73.01721228484642</v>
      </c>
      <c r="G58" s="3">
        <f t="shared" si="4"/>
        <v>7.894544791096514</v>
      </c>
      <c r="H58" s="3">
        <f>B58-D58</f>
        <v>159.9000000000001</v>
      </c>
      <c r="I58" s="3">
        <f t="shared" si="5"/>
        <v>5048.3</v>
      </c>
    </row>
    <row r="59" spans="1:9" ht="18">
      <c r="A59" s="29" t="s">
        <v>3</v>
      </c>
      <c r="B59" s="49">
        <v>325.1</v>
      </c>
      <c r="C59" s="50">
        <v>1426.1</v>
      </c>
      <c r="D59" s="51">
        <f>36.1+65.6+39.2+69.1+1.8+43</f>
        <v>254.79999999999998</v>
      </c>
      <c r="E59" s="1">
        <f>D59/D58*100</f>
        <v>58.88606424774672</v>
      </c>
      <c r="F59" s="1">
        <f t="shared" si="6"/>
        <v>78.37588434327898</v>
      </c>
      <c r="G59" s="1">
        <f t="shared" si="4"/>
        <v>17.866909753874204</v>
      </c>
      <c r="H59" s="1">
        <f t="shared" si="7"/>
        <v>70.30000000000004</v>
      </c>
      <c r="I59" s="1">
        <f t="shared" si="5"/>
        <v>1171.3</v>
      </c>
    </row>
    <row r="60" spans="1:9" ht="18" hidden="1">
      <c r="A60" s="29" t="s">
        <v>1</v>
      </c>
      <c r="B60" s="49"/>
      <c r="C60" s="50"/>
      <c r="D60" s="51"/>
      <c r="E60" s="1">
        <f>D60/D58*100</f>
        <v>0</v>
      </c>
      <c r="F60" s="117" t="e">
        <f t="shared" si="6"/>
        <v>#DIV/0!</v>
      </c>
      <c r="G60" s="1" t="e">
        <f t="shared" si="4"/>
        <v>#DIV/0!</v>
      </c>
      <c r="H60" s="1">
        <f t="shared" si="7"/>
        <v>0</v>
      </c>
      <c r="I60" s="1">
        <f t="shared" si="5"/>
        <v>0</v>
      </c>
    </row>
    <row r="61" spans="1:9" ht="18">
      <c r="A61" s="29" t="s">
        <v>0</v>
      </c>
      <c r="B61" s="49">
        <v>154.3</v>
      </c>
      <c r="C61" s="50">
        <v>420.8</v>
      </c>
      <c r="D61" s="51">
        <f>1.3+56.1+4.9+63.5+3.5</f>
        <v>129.3</v>
      </c>
      <c r="E61" s="1">
        <f>D61/D58*100</f>
        <v>29.8821354287035</v>
      </c>
      <c r="F61" s="1">
        <f t="shared" si="6"/>
        <v>83.79779650032404</v>
      </c>
      <c r="G61" s="1">
        <f t="shared" si="4"/>
        <v>30.727186311787076</v>
      </c>
      <c r="H61" s="1">
        <f t="shared" si="7"/>
        <v>25</v>
      </c>
      <c r="I61" s="1">
        <f t="shared" si="5"/>
        <v>291.5</v>
      </c>
    </row>
    <row r="62" spans="1:9" ht="18">
      <c r="A62" s="29" t="s">
        <v>15</v>
      </c>
      <c r="B62" s="49">
        <v>0</v>
      </c>
      <c r="C62" s="50">
        <f>728.9+2400</f>
        <v>3128.9</v>
      </c>
      <c r="D62" s="51"/>
      <c r="E62" s="1">
        <f>D62/D58*100</f>
        <v>0</v>
      </c>
      <c r="F62" s="117" t="e">
        <f t="shared" si="6"/>
        <v>#DIV/0!</v>
      </c>
      <c r="G62" s="1">
        <f t="shared" si="4"/>
        <v>0</v>
      </c>
      <c r="H62" s="1">
        <f t="shared" si="7"/>
        <v>0</v>
      </c>
      <c r="I62" s="1">
        <f t="shared" si="5"/>
        <v>3128.9</v>
      </c>
    </row>
    <row r="63" spans="1:9" ht="18.75" thickBot="1">
      <c r="A63" s="29" t="s">
        <v>35</v>
      </c>
      <c r="B63" s="50">
        <f>B58-B59-B61-B62-B60</f>
        <v>113.19999999999999</v>
      </c>
      <c r="C63" s="50">
        <f>C58-C59-C61-C62-C60</f>
        <v>505.1999999999998</v>
      </c>
      <c r="D63" s="50">
        <f>D58-D59-D61-D62-D60</f>
        <v>48.59999999999994</v>
      </c>
      <c r="E63" s="1">
        <f>D63/D58*100</f>
        <v>11.231800323549791</v>
      </c>
      <c r="F63" s="1">
        <f t="shared" si="6"/>
        <v>42.93286219081267</v>
      </c>
      <c r="G63" s="1">
        <f t="shared" si="4"/>
        <v>9.619952494061748</v>
      </c>
      <c r="H63" s="1">
        <f t="shared" si="7"/>
        <v>64.60000000000005</v>
      </c>
      <c r="I63" s="1">
        <f t="shared" si="5"/>
        <v>456.5999999999999</v>
      </c>
    </row>
    <row r="64" spans="1:9" s="44" customFormat="1" ht="19.5" hidden="1" thickBot="1">
      <c r="A64" s="109" t="s">
        <v>97</v>
      </c>
      <c r="B64" s="107"/>
      <c r="C64" s="107"/>
      <c r="D64" s="107"/>
      <c r="E64" s="108"/>
      <c r="F64" s="108" t="e">
        <f>D64/B64*100</f>
        <v>#DIV/0!</v>
      </c>
      <c r="G64" s="108" t="e">
        <f>D64/C64*100</f>
        <v>#DIV/0!</v>
      </c>
      <c r="H64" s="108">
        <f t="shared" si="7"/>
        <v>0</v>
      </c>
      <c r="I64" s="108">
        <f t="shared" si="5"/>
        <v>0</v>
      </c>
    </row>
    <row r="65" spans="1:9" s="44" customFormat="1" ht="19.5" hidden="1" thickBot="1">
      <c r="A65" s="109" t="s">
        <v>83</v>
      </c>
      <c r="B65" s="107"/>
      <c r="C65" s="107"/>
      <c r="D65" s="107"/>
      <c r="E65" s="108"/>
      <c r="F65" s="108" t="e">
        <f t="shared" si="6"/>
        <v>#DIV/0!</v>
      </c>
      <c r="G65" s="108" t="e">
        <f t="shared" si="4"/>
        <v>#DIV/0!</v>
      </c>
      <c r="H65" s="108">
        <f t="shared" si="7"/>
        <v>0</v>
      </c>
      <c r="I65" s="108">
        <f t="shared" si="5"/>
        <v>0</v>
      </c>
    </row>
    <row r="66" spans="1:9" s="44" customFormat="1" ht="19.5" hidden="1" thickBot="1">
      <c r="A66" s="109" t="s">
        <v>84</v>
      </c>
      <c r="B66" s="107"/>
      <c r="C66" s="107"/>
      <c r="D66" s="107"/>
      <c r="E66" s="108"/>
      <c r="F66" s="108" t="e">
        <f t="shared" si="6"/>
        <v>#DIV/0!</v>
      </c>
      <c r="G66" s="108" t="e">
        <f t="shared" si="4"/>
        <v>#DIV/0!</v>
      </c>
      <c r="H66" s="108">
        <f t="shared" si="7"/>
        <v>0</v>
      </c>
      <c r="I66" s="108">
        <f t="shared" si="5"/>
        <v>0</v>
      </c>
    </row>
    <row r="67" spans="1:9" s="44" customFormat="1" ht="19.5" hidden="1" thickBot="1">
      <c r="A67" s="109" t="s">
        <v>85</v>
      </c>
      <c r="B67" s="107"/>
      <c r="C67" s="107"/>
      <c r="D67" s="107"/>
      <c r="E67" s="108"/>
      <c r="F67" s="108" t="e">
        <f t="shared" si="6"/>
        <v>#DIV/0!</v>
      </c>
      <c r="G67" s="108" t="e">
        <f t="shared" si="4"/>
        <v>#DIV/0!</v>
      </c>
      <c r="H67" s="108">
        <f t="shared" si="7"/>
        <v>0</v>
      </c>
      <c r="I67" s="108">
        <f t="shared" si="5"/>
        <v>0</v>
      </c>
    </row>
    <row r="68" spans="1:9" ht="18.75" thickBot="1">
      <c r="A68" s="28" t="s">
        <v>24</v>
      </c>
      <c r="B68" s="53">
        <f>B69+B70</f>
        <v>224</v>
      </c>
      <c r="C68" s="53">
        <f>C69+C70</f>
        <v>476.7</v>
      </c>
      <c r="D68" s="54">
        <f>SUM(D69:D70)</f>
        <v>86.1</v>
      </c>
      <c r="E68" s="42">
        <f>D68/D144*100</f>
        <v>0.050609042501603196</v>
      </c>
      <c r="F68" s="112">
        <f>D68/B68*100</f>
        <v>38.4375</v>
      </c>
      <c r="G68" s="3">
        <f t="shared" si="4"/>
        <v>18.06167400881057</v>
      </c>
      <c r="H68" s="3">
        <f>B68-D68</f>
        <v>137.9</v>
      </c>
      <c r="I68" s="3">
        <f t="shared" si="5"/>
        <v>390.6</v>
      </c>
    </row>
    <row r="69" spans="1:9" ht="18">
      <c r="A69" s="29" t="s">
        <v>8</v>
      </c>
      <c r="B69" s="49">
        <f>137.9+85.9</f>
        <v>223.8</v>
      </c>
      <c r="C69" s="50">
        <f>390.6+85.9</f>
        <v>476.5</v>
      </c>
      <c r="D69" s="51">
        <f>0.2+12.6+73.3</f>
        <v>86.1</v>
      </c>
      <c r="E69" s="1">
        <f>D69/D68*100</f>
        <v>100</v>
      </c>
      <c r="F69" s="1">
        <f t="shared" si="6"/>
        <v>38.47184986595174</v>
      </c>
      <c r="G69" s="1">
        <f t="shared" si="4"/>
        <v>18.06925498426023</v>
      </c>
      <c r="H69" s="1">
        <f t="shared" si="7"/>
        <v>137.70000000000002</v>
      </c>
      <c r="I69" s="1">
        <f t="shared" si="5"/>
        <v>390.4</v>
      </c>
    </row>
    <row r="70" spans="1:9" ht="18.75" thickBot="1">
      <c r="A70" s="29" t="s">
        <v>9</v>
      </c>
      <c r="B70" s="49">
        <f>0.2</f>
        <v>0.2</v>
      </c>
      <c r="C70" s="50">
        <f>0.2</f>
        <v>0.2</v>
      </c>
      <c r="D70" s="51"/>
      <c r="E70" s="1">
        <f>D70/D69*100</f>
        <v>0</v>
      </c>
      <c r="F70" s="117">
        <f t="shared" si="6"/>
        <v>0</v>
      </c>
      <c r="G70" s="117">
        <f t="shared" si="4"/>
        <v>0</v>
      </c>
      <c r="H70" s="1">
        <f t="shared" si="7"/>
        <v>0.2</v>
      </c>
      <c r="I70" s="1">
        <f t="shared" si="5"/>
        <v>0.2</v>
      </c>
    </row>
    <row r="71" spans="1:9" ht="38.25" hidden="1" thickBot="1">
      <c r="A71" s="14" t="s">
        <v>51</v>
      </c>
      <c r="B71" s="61"/>
      <c r="C71" s="53">
        <f>C72+C73+C74+C75</f>
        <v>0</v>
      </c>
      <c r="D71" s="53">
        <f>D72+D73+D74+D75</f>
        <v>0</v>
      </c>
      <c r="E71" s="3">
        <f>D71/D144*100</f>
        <v>0</v>
      </c>
      <c r="F71" s="3" t="e">
        <f>D71/B71*100</f>
        <v>#DIV/0!</v>
      </c>
      <c r="G71" s="3" t="e">
        <f t="shared" si="4"/>
        <v>#DIV/0!</v>
      </c>
      <c r="H71" s="3">
        <f>B71-D71</f>
        <v>0</v>
      </c>
      <c r="I71" s="3">
        <f t="shared" si="5"/>
        <v>0</v>
      </c>
    </row>
    <row r="72" spans="1:9" ht="19.5" hidden="1" thickBot="1">
      <c r="A72" s="23" t="s">
        <v>57</v>
      </c>
      <c r="B72" s="58"/>
      <c r="C72" s="65"/>
      <c r="D72" s="56"/>
      <c r="E72" s="37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1">
        <f t="shared" si="7"/>
        <v>0</v>
      </c>
      <c r="I72" s="1">
        <f t="shared" si="5"/>
        <v>0</v>
      </c>
    </row>
    <row r="73" spans="1:9" ht="19.5" hidden="1" thickBot="1">
      <c r="A73" s="23" t="s">
        <v>58</v>
      </c>
      <c r="B73" s="58"/>
      <c r="C73" s="65"/>
      <c r="D73" s="56"/>
      <c r="E73" s="37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1">
        <f t="shared" si="7"/>
        <v>0</v>
      </c>
      <c r="I73" s="1">
        <f t="shared" si="5"/>
        <v>0</v>
      </c>
    </row>
    <row r="74" spans="1:9" ht="19.5" hidden="1" thickBot="1">
      <c r="A74" s="30" t="s">
        <v>42</v>
      </c>
      <c r="B74" s="66"/>
      <c r="C74" s="67"/>
      <c r="D74" s="68"/>
      <c r="E74" s="37" t="e">
        <f>D74/D71*100</f>
        <v>#DIV/0!</v>
      </c>
      <c r="F74" s="37"/>
      <c r="G74" s="1" t="e">
        <f t="shared" si="4"/>
        <v>#DIV/0!</v>
      </c>
      <c r="H74" s="1"/>
      <c r="I74" s="1">
        <f t="shared" si="5"/>
        <v>0</v>
      </c>
    </row>
    <row r="75" spans="1:9" ht="19.5" hidden="1" thickBot="1">
      <c r="A75" s="30" t="s">
        <v>52</v>
      </c>
      <c r="B75" s="66"/>
      <c r="C75" s="67"/>
      <c r="D75" s="68"/>
      <c r="E75" s="37" t="e">
        <f>D75/D71*100</f>
        <v>#DIV/0!</v>
      </c>
      <c r="F75" s="37"/>
      <c r="G75" s="1" t="e">
        <f t="shared" si="4"/>
        <v>#DIV/0!</v>
      </c>
      <c r="H75" s="1"/>
      <c r="I75" s="1">
        <f t="shared" si="5"/>
        <v>0</v>
      </c>
    </row>
    <row r="76" spans="1:9" s="44" customFormat="1" ht="19.5" thickBot="1">
      <c r="A76" s="31" t="s">
        <v>14</v>
      </c>
      <c r="B76" s="62">
        <f>2500-519.5</f>
        <v>1980.5</v>
      </c>
      <c r="C76" s="69">
        <f>10000-6127.8</f>
        <v>3872.2</v>
      </c>
      <c r="D76" s="70"/>
      <c r="E76" s="48"/>
      <c r="F76" s="48"/>
      <c r="G76" s="48"/>
      <c r="H76" s="48">
        <f>B76-D76</f>
        <v>1980.5</v>
      </c>
      <c r="I76" s="48">
        <f t="shared" si="5"/>
        <v>3872.2</v>
      </c>
    </row>
    <row r="77" spans="1:9" ht="8.25" customHeight="1" thickBot="1">
      <c r="A77" s="23"/>
      <c r="B77" s="58"/>
      <c r="C77" s="67"/>
      <c r="D77" s="68"/>
      <c r="E77" s="6"/>
      <c r="F77" s="6"/>
      <c r="G77" s="6"/>
      <c r="H77" s="6"/>
      <c r="I77" s="13"/>
    </row>
    <row r="78" spans="1:9" ht="18.75" customHeight="1" hidden="1" thickBot="1">
      <c r="A78" s="14" t="s">
        <v>77</v>
      </c>
      <c r="B78" s="61"/>
      <c r="C78" s="53">
        <f>C79+C80</f>
        <v>0</v>
      </c>
      <c r="D78" s="53">
        <f>D79+D80</f>
        <v>0</v>
      </c>
      <c r="E78" s="3">
        <f>D78/D144*100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3">
        <f>B78-D78</f>
        <v>0</v>
      </c>
      <c r="I78" s="3">
        <f aca="true" t="shared" si="9" ref="I78:I92">C78-D78</f>
        <v>0</v>
      </c>
    </row>
    <row r="79" spans="1:9" s="8" customFormat="1" ht="18.75" hidden="1" thickBot="1">
      <c r="A79" s="9" t="s">
        <v>76</v>
      </c>
      <c r="B79" s="71"/>
      <c r="C79" s="50">
        <f>50-50</f>
        <v>0</v>
      </c>
      <c r="D79" s="51"/>
      <c r="E79" s="106"/>
      <c r="F79" s="1" t="e">
        <f>D79/B79*100</f>
        <v>#DIV/0!</v>
      </c>
      <c r="G79" s="1" t="e">
        <f t="shared" si="8"/>
        <v>#DIV/0!</v>
      </c>
      <c r="H79" s="1">
        <f>B79-D79</f>
        <v>0</v>
      </c>
      <c r="I79" s="1">
        <f t="shared" si="9"/>
        <v>0</v>
      </c>
    </row>
    <row r="80" spans="1:9" s="8" customFormat="1" ht="31.5" hidden="1" thickBot="1">
      <c r="A80" s="9" t="s">
        <v>69</v>
      </c>
      <c r="B80" s="71"/>
      <c r="C80" s="50"/>
      <c r="D80" s="51"/>
      <c r="E80" s="106"/>
      <c r="F80" s="1" t="e">
        <f>D80/B80*100</f>
        <v>#DIV/0!</v>
      </c>
      <c r="G80" s="1" t="e">
        <f t="shared" si="8"/>
        <v>#DIV/0!</v>
      </c>
      <c r="H80" s="1">
        <f>B80-D80</f>
        <v>0</v>
      </c>
      <c r="I80" s="1">
        <f t="shared" si="9"/>
        <v>0</v>
      </c>
    </row>
    <row r="81" spans="1:9" s="8" customFormat="1" ht="16.5" customHeight="1" hidden="1">
      <c r="A81" s="9" t="s">
        <v>41</v>
      </c>
      <c r="B81" s="71"/>
      <c r="C81" s="50"/>
      <c r="D81" s="51"/>
      <c r="E81" s="1" t="e">
        <f>D81/D78*100</f>
        <v>#DIV/0!</v>
      </c>
      <c r="F81" s="1"/>
      <c r="G81" s="1" t="e">
        <f t="shared" si="8"/>
        <v>#DIV/0!</v>
      </c>
      <c r="H81" s="1"/>
      <c r="I81" s="1">
        <f t="shared" si="9"/>
        <v>0</v>
      </c>
    </row>
    <row r="82" spans="1:9" s="8" customFormat="1" ht="33" customHeight="1" hidden="1" thickBot="1">
      <c r="A82" s="9" t="s">
        <v>48</v>
      </c>
      <c r="B82" s="71"/>
      <c r="C82" s="50"/>
      <c r="D82" s="50"/>
      <c r="E82" s="1" t="e">
        <f>D82/D78*100</f>
        <v>#DIV/0!</v>
      </c>
      <c r="F82" s="1"/>
      <c r="G82" s="1" t="e">
        <f t="shared" si="8"/>
        <v>#DIV/0!</v>
      </c>
      <c r="H82" s="1"/>
      <c r="I82" s="1">
        <f t="shared" si="9"/>
        <v>0</v>
      </c>
    </row>
    <row r="83" spans="1:9" ht="35.25" customHeight="1" hidden="1" thickBot="1">
      <c r="A83" s="14" t="s">
        <v>43</v>
      </c>
      <c r="B83" s="61"/>
      <c r="C83" s="53">
        <f>C84+C85</f>
        <v>0</v>
      </c>
      <c r="D83" s="53">
        <f>D84+D85</f>
        <v>0</v>
      </c>
      <c r="E83" s="3">
        <f>D83/D144*100</f>
        <v>0</v>
      </c>
      <c r="F83" s="3"/>
      <c r="G83" s="3" t="e">
        <f t="shared" si="8"/>
        <v>#DIV/0!</v>
      </c>
      <c r="H83" s="3"/>
      <c r="I83" s="3">
        <f t="shared" si="9"/>
        <v>0</v>
      </c>
    </row>
    <row r="84" spans="1:9" ht="16.5" customHeight="1" hidden="1">
      <c r="A84" s="29" t="s">
        <v>30</v>
      </c>
      <c r="B84" s="49"/>
      <c r="C84" s="67"/>
      <c r="D84" s="67"/>
      <c r="E84" s="6" t="e">
        <f>D84/D83*100</f>
        <v>#DIV/0!</v>
      </c>
      <c r="F84" s="6"/>
      <c r="G84" s="6" t="e">
        <f t="shared" si="8"/>
        <v>#DIV/0!</v>
      </c>
      <c r="H84" s="6"/>
      <c r="I84" s="1">
        <f t="shared" si="9"/>
        <v>0</v>
      </c>
    </row>
    <row r="85" spans="1:9" ht="16.5" customHeight="1" hidden="1" thickBot="1">
      <c r="A85" s="29" t="s">
        <v>31</v>
      </c>
      <c r="B85" s="49"/>
      <c r="C85" s="67"/>
      <c r="D85" s="67"/>
      <c r="E85" s="6" t="e">
        <f>D85/D83*100</f>
        <v>#DIV/0!</v>
      </c>
      <c r="F85" s="6"/>
      <c r="G85" s="6" t="e">
        <f t="shared" si="8"/>
        <v>#DIV/0!</v>
      </c>
      <c r="H85" s="6"/>
      <c r="I85" s="1">
        <f t="shared" si="9"/>
        <v>0</v>
      </c>
    </row>
    <row r="86" spans="1:9" ht="34.5" customHeight="1" hidden="1" thickBot="1">
      <c r="A86" s="14" t="s">
        <v>44</v>
      </c>
      <c r="B86" s="61"/>
      <c r="C86" s="53">
        <f>SUM(C87:C88)</f>
        <v>0</v>
      </c>
      <c r="D86" s="53">
        <f>SUM(D87:D88)</f>
        <v>0</v>
      </c>
      <c r="E86" s="3">
        <f>D86/D144*100</f>
        <v>0</v>
      </c>
      <c r="F86" s="3"/>
      <c r="G86" s="3" t="e">
        <f t="shared" si="8"/>
        <v>#DIV/0!</v>
      </c>
      <c r="H86" s="3"/>
      <c r="I86" s="3">
        <f t="shared" si="9"/>
        <v>0</v>
      </c>
    </row>
    <row r="87" spans="1:9" ht="17.25" customHeight="1" hidden="1">
      <c r="A87" s="29" t="s">
        <v>30</v>
      </c>
      <c r="B87" s="49"/>
      <c r="C87" s="50"/>
      <c r="D87" s="51"/>
      <c r="E87" s="1" t="e">
        <f>D87/D86*100</f>
        <v>#DIV/0!</v>
      </c>
      <c r="F87" s="1"/>
      <c r="G87" s="1" t="e">
        <f t="shared" si="8"/>
        <v>#DIV/0!</v>
      </c>
      <c r="H87" s="1"/>
      <c r="I87" s="1">
        <f t="shared" si="9"/>
        <v>0</v>
      </c>
    </row>
    <row r="88" spans="1:9" ht="17.25" customHeight="1" hidden="1" thickBot="1">
      <c r="A88" s="29" t="s">
        <v>31</v>
      </c>
      <c r="B88" s="49"/>
      <c r="C88" s="50"/>
      <c r="D88" s="51"/>
      <c r="E88" s="1" t="e">
        <f>D88/D86*100</f>
        <v>#DIV/0!</v>
      </c>
      <c r="F88" s="1"/>
      <c r="G88" s="1" t="e">
        <f t="shared" si="8"/>
        <v>#DIV/0!</v>
      </c>
      <c r="H88" s="1"/>
      <c r="I88" s="1">
        <f t="shared" si="9"/>
        <v>0</v>
      </c>
    </row>
    <row r="89" spans="1:9" ht="19.5" thickBot="1">
      <c r="A89" s="14" t="s">
        <v>10</v>
      </c>
      <c r="B89" s="61">
        <f>12234.7+536.8</f>
        <v>12771.5</v>
      </c>
      <c r="C89" s="53">
        <f>47925.9+539.6</f>
        <v>48465.5</v>
      </c>
      <c r="D89" s="54">
        <f>1173.8+37.3+101.8+9.7+15.1+2.5+6.1+25.2+161.9+1262.3+173.1+14.9+67.5+0.1+74.5+11.5+2+20+14.7+81.5+461.2+565+206.1+3.2+46+0.8+6.5+50.6+455+1286.2+183.8+1.4+2.9+4.4+5+70+1+29.9+1080.9+235.9+65.5+15.2+11.7+17.8+127.4</f>
        <v>8188.899999999997</v>
      </c>
      <c r="E89" s="3">
        <f>D89/D144*100</f>
        <v>4.813384298970712</v>
      </c>
      <c r="F89" s="3">
        <f aca="true" t="shared" si="10" ref="F89:F95">D89/B89*100</f>
        <v>64.11854519829305</v>
      </c>
      <c r="G89" s="3">
        <f t="shared" si="8"/>
        <v>16.896348949252555</v>
      </c>
      <c r="H89" s="3">
        <f aca="true" t="shared" si="11" ref="H89:H95">B89-D89</f>
        <v>4582.600000000003</v>
      </c>
      <c r="I89" s="3">
        <f t="shared" si="9"/>
        <v>40276.600000000006</v>
      </c>
    </row>
    <row r="90" spans="1:9" ht="18">
      <c r="A90" s="29" t="s">
        <v>3</v>
      </c>
      <c r="B90" s="49">
        <f>9715.8-8.2</f>
        <v>9707.599999999999</v>
      </c>
      <c r="C90" s="50">
        <v>39638</v>
      </c>
      <c r="D90" s="51">
        <f>1167.3+36.1+0.8+0.4+161.9+1233.6+154.1+3-0.1+4.3+0.5+8.4+3.9+81.5+433.3+525.7+205+5.2+9.3+444.2+1273.5+170.1+45.1+1046.6+229.9+0.1+3.7</f>
        <v>7247.400000000001</v>
      </c>
      <c r="E90" s="1">
        <f>D90/D89*100</f>
        <v>88.5027293043022</v>
      </c>
      <c r="F90" s="1">
        <f t="shared" si="10"/>
        <v>74.65696979686021</v>
      </c>
      <c r="G90" s="1">
        <f t="shared" si="8"/>
        <v>18.283969927847014</v>
      </c>
      <c r="H90" s="1">
        <f t="shared" si="11"/>
        <v>2460.199999999998</v>
      </c>
      <c r="I90" s="1">
        <f t="shared" si="9"/>
        <v>32390.6</v>
      </c>
    </row>
    <row r="91" spans="1:9" ht="18">
      <c r="A91" s="29" t="s">
        <v>33</v>
      </c>
      <c r="B91" s="49">
        <v>955</v>
      </c>
      <c r="C91" s="50">
        <v>2406.5</v>
      </c>
      <c r="D91" s="51">
        <f>15.4+0.6+1.6+3.7+2.5+4.3+0.4+4.2</f>
        <v>32.7</v>
      </c>
      <c r="E91" s="1">
        <f>D91/D89*100</f>
        <v>0.3993210321288575</v>
      </c>
      <c r="F91" s="1">
        <f t="shared" si="10"/>
        <v>3.4240837696335085</v>
      </c>
      <c r="G91" s="1">
        <f t="shared" si="8"/>
        <v>1.3588198628713901</v>
      </c>
      <c r="H91" s="1">
        <f t="shared" si="11"/>
        <v>922.3</v>
      </c>
      <c r="I91" s="1">
        <f t="shared" si="9"/>
        <v>2373.8</v>
      </c>
    </row>
    <row r="92" spans="1:9" ht="18" hidden="1">
      <c r="A92" s="29" t="s">
        <v>15</v>
      </c>
      <c r="B92" s="49"/>
      <c r="C92" s="50"/>
      <c r="D92" s="50"/>
      <c r="E92" s="12">
        <f>D92/D89*100</f>
        <v>0</v>
      </c>
      <c r="F92" s="1"/>
      <c r="G92" s="1" t="e">
        <f t="shared" si="8"/>
        <v>#DIV/0!</v>
      </c>
      <c r="H92" s="1">
        <f t="shared" si="11"/>
        <v>0</v>
      </c>
      <c r="I92" s="1">
        <f t="shared" si="9"/>
        <v>0</v>
      </c>
    </row>
    <row r="93" spans="1:9" ht="18.75" thickBot="1">
      <c r="A93" s="126" t="s">
        <v>35</v>
      </c>
      <c r="B93" s="127">
        <f>B89-B90-B91-B92</f>
        <v>2108.9000000000015</v>
      </c>
      <c r="C93" s="127">
        <f>C89-C90-C91-C92</f>
        <v>6421</v>
      </c>
      <c r="D93" s="127">
        <f>D89-D90-D91-D92</f>
        <v>908.7999999999963</v>
      </c>
      <c r="E93" s="128">
        <f>D93/D89*100</f>
        <v>11.097949663568937</v>
      </c>
      <c r="F93" s="128">
        <f t="shared" si="10"/>
        <v>43.093555882213266</v>
      </c>
      <c r="G93" s="128">
        <f>D93/C93*100</f>
        <v>14.153558635726466</v>
      </c>
      <c r="H93" s="128">
        <f t="shared" si="11"/>
        <v>1200.1000000000051</v>
      </c>
      <c r="I93" s="128">
        <f>C93-D93</f>
        <v>5512.2000000000035</v>
      </c>
    </row>
    <row r="94" spans="1:9" ht="18.75">
      <c r="A94" s="135" t="s">
        <v>12</v>
      </c>
      <c r="B94" s="140">
        <f>14095.3+1900</f>
        <v>15995.3</v>
      </c>
      <c r="C94" s="142">
        <f>48638.3+1900</f>
        <v>50538.3</v>
      </c>
      <c r="D94" s="141">
        <f>3479.6+8.1+4.1+53.2+1101.8+1997.1+228.6+3048.1+0.1+314.6+1021.4+1907+2.5+299.7+94.1</f>
        <v>13560.000000000002</v>
      </c>
      <c r="E94" s="134">
        <f>D94/D144*100</f>
        <v>7.970483348684547</v>
      </c>
      <c r="F94" s="138">
        <f t="shared" si="10"/>
        <v>84.77490262764688</v>
      </c>
      <c r="G94" s="125">
        <f>D94/C94*100</f>
        <v>26.831135989932392</v>
      </c>
      <c r="H94" s="139">
        <f t="shared" si="11"/>
        <v>2435.2999999999975</v>
      </c>
      <c r="I94" s="134">
        <f>C94-D94</f>
        <v>36978.3</v>
      </c>
    </row>
    <row r="95" spans="1:9" ht="18.75" thickBot="1">
      <c r="A95" s="136" t="s">
        <v>110</v>
      </c>
      <c r="B95" s="143">
        <v>1128</v>
      </c>
      <c r="C95" s="144">
        <v>4853.7</v>
      </c>
      <c r="D95" s="145">
        <f>600+69+9+48.5+2.5+299.7</f>
        <v>1028.7</v>
      </c>
      <c r="E95" s="146">
        <f>D95/D94*100</f>
        <v>7.586283185840707</v>
      </c>
      <c r="F95" s="147">
        <f t="shared" si="10"/>
        <v>91.1968085106383</v>
      </c>
      <c r="G95" s="148">
        <f>D95/C95*100</f>
        <v>21.194140552568147</v>
      </c>
      <c r="H95" s="137">
        <f t="shared" si="11"/>
        <v>99.29999999999995</v>
      </c>
      <c r="I95" s="96">
        <f>C95-D95</f>
        <v>3825</v>
      </c>
    </row>
    <row r="96" spans="1:9" ht="8.25" customHeight="1" thickBot="1">
      <c r="A96" s="129"/>
      <c r="B96" s="130"/>
      <c r="C96" s="131"/>
      <c r="D96" s="132"/>
      <c r="E96" s="133"/>
      <c r="F96" s="133"/>
      <c r="G96" s="133"/>
      <c r="H96" s="133"/>
      <c r="I96" s="133"/>
    </row>
    <row r="97" spans="1:9" ht="19.5" hidden="1" thickBot="1">
      <c r="A97" s="33" t="s">
        <v>46</v>
      </c>
      <c r="B97" s="75"/>
      <c r="C97" s="76"/>
      <c r="D97" s="77"/>
      <c r="E97" s="3">
        <f>D97/D144*100</f>
        <v>0</v>
      </c>
      <c r="F97" s="3"/>
      <c r="G97" s="3" t="e">
        <f>D97/C97*100</f>
        <v>#DIV/0!</v>
      </c>
      <c r="H97" s="3"/>
      <c r="I97" s="3">
        <f>C97-D97</f>
        <v>0</v>
      </c>
    </row>
    <row r="98" spans="1:9" ht="5.25" customHeight="1" hidden="1" thickBot="1">
      <c r="A98" s="32"/>
      <c r="B98" s="72"/>
      <c r="C98" s="73"/>
      <c r="D98" s="74"/>
      <c r="E98" s="15"/>
      <c r="F98" s="6"/>
      <c r="G98" s="6"/>
      <c r="H98" s="6"/>
      <c r="I98" s="13"/>
    </row>
    <row r="99" spans="1:9" s="16" customFormat="1" ht="36" customHeight="1" hidden="1" thickBot="1">
      <c r="A99" s="14" t="s">
        <v>66</v>
      </c>
      <c r="B99" s="61"/>
      <c r="C99" s="53"/>
      <c r="D99" s="54"/>
      <c r="E99" s="3">
        <f>D99/D144*100</f>
        <v>0</v>
      </c>
      <c r="F99" s="3" t="e">
        <f>D99/B99*100</f>
        <v>#DIV/0!</v>
      </c>
      <c r="G99" s="3" t="e">
        <f>D99/C99*100</f>
        <v>#DIV/0!</v>
      </c>
      <c r="H99" s="3">
        <f>B99-D99</f>
        <v>0</v>
      </c>
      <c r="I99" s="3">
        <f>C99-D99</f>
        <v>0</v>
      </c>
    </row>
    <row r="100" spans="1:9" ht="6.75" customHeight="1" hidden="1" thickBot="1">
      <c r="A100" s="114"/>
      <c r="B100" s="115"/>
      <c r="C100" s="73"/>
      <c r="D100" s="74"/>
      <c r="E100" s="15"/>
      <c r="F100" s="6"/>
      <c r="G100" s="6"/>
      <c r="H100" s="6"/>
      <c r="I100" s="13"/>
    </row>
    <row r="101" spans="1:9" s="44" customFormat="1" ht="19.5" thickBot="1">
      <c r="A101" s="14" t="s">
        <v>11</v>
      </c>
      <c r="B101" s="61">
        <f>1526.1+53.8</f>
        <v>1579.8999999999999</v>
      </c>
      <c r="C101" s="105">
        <f>6061.2+4589.8</f>
        <v>10651</v>
      </c>
      <c r="D101" s="90">
        <f>110.5+80.7+66.2+55.7+33+106.8+21.7+2.2+3.9+0.4+5.9+27.7+127.6+1.1+13.8+50.2+3.3+23.2+111+21.4+3.2</f>
        <v>869.5</v>
      </c>
      <c r="E101" s="25">
        <f>D101/D144*100</f>
        <v>0.5110866719528918</v>
      </c>
      <c r="F101" s="25">
        <f>D101/B101*100</f>
        <v>55.035128805620616</v>
      </c>
      <c r="G101" s="25">
        <f aca="true" t="shared" si="12" ref="G101:G142">D101/C101*100</f>
        <v>8.163552718054643</v>
      </c>
      <c r="H101" s="25">
        <f aca="true" t="shared" si="13" ref="H101:H106">B101-D101</f>
        <v>710.3999999999999</v>
      </c>
      <c r="I101" s="25">
        <f aca="true" t="shared" si="14" ref="I101:I142">C101-D101</f>
        <v>9781.5</v>
      </c>
    </row>
    <row r="102" spans="1:9" ht="18" hidden="1">
      <c r="A102" s="91" t="s">
        <v>64</v>
      </c>
      <c r="B102" s="101"/>
      <c r="C102" s="99"/>
      <c r="D102" s="99"/>
      <c r="E102" s="95">
        <f>D102/D101*100</f>
        <v>0</v>
      </c>
      <c r="F102" s="117" t="e">
        <f>D102/B102*100</f>
        <v>#DIV/0!</v>
      </c>
      <c r="G102" s="95" t="e">
        <f>D102/C102*100</f>
        <v>#DIV/0!</v>
      </c>
      <c r="H102" s="95">
        <f t="shared" si="13"/>
        <v>0</v>
      </c>
      <c r="I102" s="95">
        <f t="shared" si="14"/>
        <v>0</v>
      </c>
    </row>
    <row r="103" spans="1:9" ht="18">
      <c r="A103" s="97" t="s">
        <v>63</v>
      </c>
      <c r="B103" s="81">
        <f>1375.5+50</f>
        <v>1425.5</v>
      </c>
      <c r="C103" s="51">
        <f>5036.9+4586</f>
        <v>9622.9</v>
      </c>
      <c r="D103" s="51">
        <f>110.3+80.7+66.2+32.9+19.7+106.6+21.7+3.9+5.8+27.6+127.6+1.1+0.1+13.7+10.7+3.3+110.8+21.4+3.1</f>
        <v>767.2</v>
      </c>
      <c r="E103" s="1">
        <f>D103/D101*100</f>
        <v>88.23461759631974</v>
      </c>
      <c r="F103" s="1">
        <f aca="true" t="shared" si="15" ref="F103:F142">D103/B103*100</f>
        <v>53.81971238162049</v>
      </c>
      <c r="G103" s="1">
        <f t="shared" si="12"/>
        <v>7.972648577871537</v>
      </c>
      <c r="H103" s="1">
        <f t="shared" si="13"/>
        <v>658.3</v>
      </c>
      <c r="I103" s="1">
        <f t="shared" si="14"/>
        <v>8855.699999999999</v>
      </c>
    </row>
    <row r="104" spans="1:9" ht="54.75" hidden="1" thickBot="1">
      <c r="A104" s="98" t="s">
        <v>101</v>
      </c>
      <c r="B104" s="100"/>
      <c r="C104" s="100"/>
      <c r="D104" s="100"/>
      <c r="E104" s="96">
        <f>D104/D101*100</f>
        <v>0</v>
      </c>
      <c r="F104" s="96" t="e">
        <f>D104/B104*100</f>
        <v>#DIV/0!</v>
      </c>
      <c r="G104" s="96" t="e">
        <f>D104/C104*100</f>
        <v>#DIV/0!</v>
      </c>
      <c r="H104" s="96">
        <f t="shared" si="13"/>
        <v>0</v>
      </c>
      <c r="I104" s="96">
        <f>C104-D104</f>
        <v>0</v>
      </c>
    </row>
    <row r="105" spans="1:9" ht="18.75" thickBot="1">
      <c r="A105" s="98" t="s">
        <v>35</v>
      </c>
      <c r="B105" s="100">
        <f>B101-B102-B103</f>
        <v>154.39999999999986</v>
      </c>
      <c r="C105" s="100">
        <f>C101-C102-C103</f>
        <v>1028.1000000000004</v>
      </c>
      <c r="D105" s="100">
        <f>D101-D102-D103</f>
        <v>102.29999999999995</v>
      </c>
      <c r="E105" s="96">
        <f>D105/D101*100</f>
        <v>11.76538240368027</v>
      </c>
      <c r="F105" s="96">
        <f t="shared" si="15"/>
        <v>66.25647668393785</v>
      </c>
      <c r="G105" s="96">
        <f t="shared" si="12"/>
        <v>9.950393930551495</v>
      </c>
      <c r="H105" s="96">
        <f>B105-D105</f>
        <v>52.09999999999991</v>
      </c>
      <c r="I105" s="96">
        <f t="shared" si="14"/>
        <v>925.8000000000004</v>
      </c>
    </row>
    <row r="106" spans="1:9" s="2" customFormat="1" ht="26.25" customHeight="1" thickBot="1">
      <c r="A106" s="92" t="s">
        <v>36</v>
      </c>
      <c r="B106" s="93">
        <f>SUM(B107:B141)-B114-B118+B142-B134-B135-B108-B111-B121-B122-B132</f>
        <v>51313.600000000006</v>
      </c>
      <c r="C106" s="93">
        <f>SUM(C107:C141)-C114-C118+C142-C134-C135-C108-C111-C121-C122-C132</f>
        <v>149269.8</v>
      </c>
      <c r="D106" s="93">
        <f>SUM(D107:D141)-D114-D118+D142-D134-D135-D108-D111-D121-D122-D132</f>
        <v>31309.6</v>
      </c>
      <c r="E106" s="94">
        <f>D106/D144*100</f>
        <v>18.403587422859417</v>
      </c>
      <c r="F106" s="94">
        <f>D106/B106*100</f>
        <v>61.01618284431417</v>
      </c>
      <c r="G106" s="94">
        <f t="shared" si="12"/>
        <v>20.975173812787315</v>
      </c>
      <c r="H106" s="94">
        <f t="shared" si="13"/>
        <v>20004.000000000007</v>
      </c>
      <c r="I106" s="94">
        <f t="shared" si="14"/>
        <v>117960.19999999998</v>
      </c>
    </row>
    <row r="107" spans="1:9" ht="37.5">
      <c r="A107" s="34" t="s">
        <v>67</v>
      </c>
      <c r="B107" s="78">
        <f>600.8+137.3</f>
        <v>738.0999999999999</v>
      </c>
      <c r="C107" s="74">
        <f>1662.5+137.3</f>
        <v>1799.8</v>
      </c>
      <c r="D107" s="79">
        <f>114.2+9+1.8-0.1+90.7+22.4+38.1+76.9+3.3+8.3+1.4+33.8</f>
        <v>399.8</v>
      </c>
      <c r="E107" s="6">
        <f>D107/D106*100</f>
        <v>1.2769246493088382</v>
      </c>
      <c r="F107" s="6">
        <f t="shared" si="15"/>
        <v>54.16610215417966</v>
      </c>
      <c r="G107" s="6">
        <f t="shared" si="12"/>
        <v>22.2135792865874</v>
      </c>
      <c r="H107" s="6">
        <f aca="true" t="shared" si="16" ref="H107:H142">B107-D107</f>
        <v>338.2999999999999</v>
      </c>
      <c r="I107" s="6">
        <f t="shared" si="14"/>
        <v>1400</v>
      </c>
    </row>
    <row r="108" spans="1:9" ht="18">
      <c r="A108" s="29" t="s">
        <v>33</v>
      </c>
      <c r="B108" s="81">
        <v>336</v>
      </c>
      <c r="C108" s="51">
        <v>823.7</v>
      </c>
      <c r="D108" s="82">
        <f>96.8+90.7+64.1</f>
        <v>251.6</v>
      </c>
      <c r="E108" s="1"/>
      <c r="F108" s="1">
        <f t="shared" si="15"/>
        <v>74.88095238095238</v>
      </c>
      <c r="G108" s="1">
        <f t="shared" si="12"/>
        <v>30.545101371858685</v>
      </c>
      <c r="H108" s="1">
        <f t="shared" si="16"/>
        <v>84.4</v>
      </c>
      <c r="I108" s="1">
        <f t="shared" si="14"/>
        <v>572.1</v>
      </c>
    </row>
    <row r="109" spans="1:9" ht="34.5" customHeight="1">
      <c r="A109" s="17" t="s">
        <v>100</v>
      </c>
      <c r="B109" s="80">
        <v>227.2</v>
      </c>
      <c r="C109" s="68">
        <v>903.8</v>
      </c>
      <c r="D109" s="79">
        <f>20.7+31.6</f>
        <v>52.3</v>
      </c>
      <c r="E109" s="6">
        <f>D109/D106*100</f>
        <v>0.16704141860643382</v>
      </c>
      <c r="F109" s="6">
        <f>D109/B109*100</f>
        <v>23.0193661971831</v>
      </c>
      <c r="G109" s="6">
        <f t="shared" si="12"/>
        <v>5.786678468687763</v>
      </c>
      <c r="H109" s="6">
        <f t="shared" si="16"/>
        <v>174.89999999999998</v>
      </c>
      <c r="I109" s="6">
        <f t="shared" si="14"/>
        <v>851.5</v>
      </c>
    </row>
    <row r="110" spans="1:9" s="44" customFormat="1" ht="34.5" customHeight="1">
      <c r="A110" s="17" t="s">
        <v>75</v>
      </c>
      <c r="B110" s="80">
        <f>20.9+12.8</f>
        <v>33.7</v>
      </c>
      <c r="C110" s="60">
        <f>71.8+12.8</f>
        <v>84.6</v>
      </c>
      <c r="D110" s="83">
        <f>5.3+5.3+0.5</f>
        <v>11.1</v>
      </c>
      <c r="E110" s="6">
        <f>D110/D106*100</f>
        <v>0.035452385210925724</v>
      </c>
      <c r="F110" s="6">
        <f t="shared" si="15"/>
        <v>32.937685459940646</v>
      </c>
      <c r="G110" s="6">
        <f t="shared" si="12"/>
        <v>13.120567375886525</v>
      </c>
      <c r="H110" s="6">
        <f t="shared" si="16"/>
        <v>22.6</v>
      </c>
      <c r="I110" s="6">
        <f t="shared" si="14"/>
        <v>73.5</v>
      </c>
    </row>
    <row r="111" spans="1:9" ht="18" hidden="1">
      <c r="A111" s="29" t="s">
        <v>33</v>
      </c>
      <c r="B111" s="81"/>
      <c r="C111" s="51"/>
      <c r="D111" s="82"/>
      <c r="E111" s="1"/>
      <c r="F111" s="1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ht="37.5">
      <c r="A112" s="17" t="s">
        <v>74</v>
      </c>
      <c r="B112" s="80">
        <v>16.7</v>
      </c>
      <c r="C112" s="68">
        <v>67.4</v>
      </c>
      <c r="D112" s="79">
        <f>5.5+5.4</f>
        <v>10.9</v>
      </c>
      <c r="E112" s="6">
        <f>D112/D106*100</f>
        <v>0.03481360349541355</v>
      </c>
      <c r="F112" s="6">
        <f t="shared" si="15"/>
        <v>65.26946107784431</v>
      </c>
      <c r="G112" s="6">
        <f t="shared" si="12"/>
        <v>16.172106824925816</v>
      </c>
      <c r="H112" s="6">
        <f t="shared" si="16"/>
        <v>5.799999999999999</v>
      </c>
      <c r="I112" s="6">
        <f t="shared" si="14"/>
        <v>56.50000000000001</v>
      </c>
    </row>
    <row r="113" spans="1:9" ht="37.5">
      <c r="A113" s="17" t="s">
        <v>47</v>
      </c>
      <c r="B113" s="80">
        <v>443.5</v>
      </c>
      <c r="C113" s="68">
        <v>1532.5</v>
      </c>
      <c r="D113" s="79">
        <f>96.4+0.6+6.3+86+10.4+21.5+5.3+0.1</f>
        <v>226.60000000000002</v>
      </c>
      <c r="E113" s="6">
        <f>D113/D106*100</f>
        <v>0.7237396836752946</v>
      </c>
      <c r="F113" s="6">
        <f t="shared" si="15"/>
        <v>51.093573844419396</v>
      </c>
      <c r="G113" s="6">
        <f t="shared" si="12"/>
        <v>14.786296900489399</v>
      </c>
      <c r="H113" s="6">
        <f t="shared" si="16"/>
        <v>216.89999999999998</v>
      </c>
      <c r="I113" s="6">
        <f t="shared" si="14"/>
        <v>1305.9</v>
      </c>
    </row>
    <row r="114" spans="1:9" ht="18" hidden="1">
      <c r="A114" s="40" t="s">
        <v>54</v>
      </c>
      <c r="B114" s="81"/>
      <c r="C114" s="51"/>
      <c r="D114" s="82"/>
      <c r="E114" s="6"/>
      <c r="F114" s="6" t="e">
        <f t="shared" si="15"/>
        <v>#DIV/0!</v>
      </c>
      <c r="G114" s="1" t="e">
        <f t="shared" si="12"/>
        <v>#DIV/0!</v>
      </c>
      <c r="H114" s="1">
        <f t="shared" si="16"/>
        <v>0</v>
      </c>
      <c r="I114" s="1">
        <f t="shared" si="14"/>
        <v>0</v>
      </c>
    </row>
    <row r="115" spans="1:9" s="44" customFormat="1" ht="18.75" customHeight="1">
      <c r="A115" s="17" t="s">
        <v>60</v>
      </c>
      <c r="B115" s="80">
        <v>36</v>
      </c>
      <c r="C115" s="60">
        <v>36</v>
      </c>
      <c r="D115" s="83">
        <v>36</v>
      </c>
      <c r="E115" s="19">
        <f>D115/D106*100</f>
        <v>0.11498070879219152</v>
      </c>
      <c r="F115" s="6">
        <f t="shared" si="15"/>
        <v>100</v>
      </c>
      <c r="G115" s="19">
        <f t="shared" si="12"/>
        <v>100</v>
      </c>
      <c r="H115" s="19">
        <f t="shared" si="16"/>
        <v>0</v>
      </c>
      <c r="I115" s="19">
        <f t="shared" si="14"/>
        <v>0</v>
      </c>
    </row>
    <row r="116" spans="1:9" ht="37.5">
      <c r="A116" s="17" t="s">
        <v>59</v>
      </c>
      <c r="B116" s="80">
        <v>108</v>
      </c>
      <c r="C116" s="68">
        <v>245.2</v>
      </c>
      <c r="D116" s="79"/>
      <c r="E116" s="6">
        <f>D116/D106*100</f>
        <v>0</v>
      </c>
      <c r="F116" s="6">
        <f>D116/B116*100</f>
        <v>0</v>
      </c>
      <c r="G116" s="6">
        <f t="shared" si="12"/>
        <v>0</v>
      </c>
      <c r="H116" s="6">
        <f t="shared" si="16"/>
        <v>108</v>
      </c>
      <c r="I116" s="6">
        <f t="shared" si="14"/>
        <v>245.2</v>
      </c>
    </row>
    <row r="117" spans="1:9" s="2" customFormat="1" ht="18.75">
      <c r="A117" s="17" t="s">
        <v>16</v>
      </c>
      <c r="B117" s="80">
        <f>61.5+4.8</f>
        <v>66.3</v>
      </c>
      <c r="C117" s="60">
        <f>199.6+4.8</f>
        <v>204.4</v>
      </c>
      <c r="D117" s="79">
        <f>1.6+18.3+17.8+0.8+2.2+4</f>
        <v>44.7</v>
      </c>
      <c r="E117" s="6">
        <f>D117/D106*100</f>
        <v>0.14276771341697117</v>
      </c>
      <c r="F117" s="6">
        <f t="shared" si="15"/>
        <v>67.42081447963801</v>
      </c>
      <c r="G117" s="6">
        <f t="shared" si="12"/>
        <v>21.868884540117417</v>
      </c>
      <c r="H117" s="6">
        <f t="shared" si="16"/>
        <v>21.599999999999994</v>
      </c>
      <c r="I117" s="6">
        <f t="shared" si="14"/>
        <v>159.7</v>
      </c>
    </row>
    <row r="118" spans="1:9" s="39" customFormat="1" ht="18">
      <c r="A118" s="40" t="s">
        <v>54</v>
      </c>
      <c r="B118" s="81">
        <v>50.2</v>
      </c>
      <c r="C118" s="51">
        <v>150.8</v>
      </c>
      <c r="D118" s="82">
        <f>16.7+16.7</f>
        <v>33.4</v>
      </c>
      <c r="E118" s="1"/>
      <c r="F118" s="1">
        <f t="shared" si="15"/>
        <v>66.53386454183267</v>
      </c>
      <c r="G118" s="1">
        <f t="shared" si="12"/>
        <v>22.148541114058354</v>
      </c>
      <c r="H118" s="1">
        <f t="shared" si="16"/>
        <v>16.800000000000004</v>
      </c>
      <c r="I118" s="1">
        <f t="shared" si="14"/>
        <v>117.4</v>
      </c>
    </row>
    <row r="119" spans="1:9" s="2" customFormat="1" ht="18.75">
      <c r="A119" s="17" t="s">
        <v>25</v>
      </c>
      <c r="B119" s="80">
        <f>300+249.6</f>
        <v>549.6</v>
      </c>
      <c r="C119" s="60">
        <f>1468.8+249.6</f>
        <v>1718.3999999999999</v>
      </c>
      <c r="D119" s="79"/>
      <c r="E119" s="6">
        <f>D119/D106*100</f>
        <v>0</v>
      </c>
      <c r="F119" s="6">
        <f t="shared" si="15"/>
        <v>0</v>
      </c>
      <c r="G119" s="6">
        <f t="shared" si="12"/>
        <v>0</v>
      </c>
      <c r="H119" s="6">
        <f t="shared" si="16"/>
        <v>549.6</v>
      </c>
      <c r="I119" s="6">
        <f t="shared" si="14"/>
        <v>1718.3999999999999</v>
      </c>
    </row>
    <row r="120" spans="1:9" s="2" customFormat="1" ht="21.75" customHeight="1">
      <c r="A120" s="17" t="s">
        <v>45</v>
      </c>
      <c r="B120" s="80">
        <f>524+70+553</f>
        <v>1147</v>
      </c>
      <c r="C120" s="60">
        <f>628+70+553</f>
        <v>1251</v>
      </c>
      <c r="D120" s="83">
        <f>110.6</f>
        <v>110.6</v>
      </c>
      <c r="E120" s="19">
        <f>D120/D106*100</f>
        <v>0.3532462886782329</v>
      </c>
      <c r="F120" s="6">
        <f t="shared" si="15"/>
        <v>9.642545771578028</v>
      </c>
      <c r="G120" s="6">
        <f t="shared" si="12"/>
        <v>8.840927258193444</v>
      </c>
      <c r="H120" s="6">
        <f t="shared" si="16"/>
        <v>1036.4</v>
      </c>
      <c r="I120" s="6">
        <f t="shared" si="14"/>
        <v>1140.4</v>
      </c>
    </row>
    <row r="121" spans="1:9" s="116" customFormat="1" ht="18">
      <c r="A121" s="29" t="s">
        <v>102</v>
      </c>
      <c r="B121" s="81">
        <v>70</v>
      </c>
      <c r="C121" s="51">
        <v>70</v>
      </c>
      <c r="D121" s="82"/>
      <c r="E121" s="6"/>
      <c r="F121" s="1">
        <f>D121/B121*100</f>
        <v>0</v>
      </c>
      <c r="G121" s="1">
        <f t="shared" si="12"/>
        <v>0</v>
      </c>
      <c r="H121" s="1">
        <f t="shared" si="16"/>
        <v>70</v>
      </c>
      <c r="I121" s="1">
        <f t="shared" si="14"/>
        <v>70</v>
      </c>
    </row>
    <row r="122" spans="1:9" s="116" customFormat="1" ht="18" hidden="1">
      <c r="A122" s="29" t="s">
        <v>64</v>
      </c>
      <c r="B122" s="81"/>
      <c r="C122" s="51"/>
      <c r="D122" s="82"/>
      <c r="E122" s="6"/>
      <c r="F122" s="1" t="e">
        <f>D122/B122*100</f>
        <v>#DIV/0!</v>
      </c>
      <c r="G122" s="1" t="e">
        <f t="shared" si="12"/>
        <v>#DIV/0!</v>
      </c>
      <c r="H122" s="1">
        <f t="shared" si="16"/>
        <v>0</v>
      </c>
      <c r="I122" s="1">
        <f t="shared" si="14"/>
        <v>0</v>
      </c>
    </row>
    <row r="123" spans="1:9" s="2" customFormat="1" ht="37.5">
      <c r="A123" s="17" t="s">
        <v>49</v>
      </c>
      <c r="B123" s="80">
        <v>437</v>
      </c>
      <c r="C123" s="60">
        <v>2933.8</v>
      </c>
      <c r="D123" s="83">
        <f>21+0.9+174.2</f>
        <v>196.1</v>
      </c>
      <c r="E123" s="19">
        <f>D123/D106*100</f>
        <v>0.6263254720596878</v>
      </c>
      <c r="F123" s="6">
        <f t="shared" si="15"/>
        <v>44.87414187643021</v>
      </c>
      <c r="G123" s="6">
        <f t="shared" si="12"/>
        <v>6.684163883018609</v>
      </c>
      <c r="H123" s="6">
        <f t="shared" si="16"/>
        <v>240.9</v>
      </c>
      <c r="I123" s="6">
        <f t="shared" si="14"/>
        <v>2737.7000000000003</v>
      </c>
    </row>
    <row r="124" spans="1:9" s="2" customFormat="1" ht="56.25">
      <c r="A124" s="17" t="s">
        <v>56</v>
      </c>
      <c r="B124" s="80">
        <v>129.9</v>
      </c>
      <c r="C124" s="60">
        <v>129.9</v>
      </c>
      <c r="D124" s="83">
        <v>129.9</v>
      </c>
      <c r="E124" s="19">
        <f>D124/D106*100</f>
        <v>0.4148887242251579</v>
      </c>
      <c r="F124" s="6">
        <f t="shared" si="15"/>
        <v>100</v>
      </c>
      <c r="G124" s="6">
        <f t="shared" si="12"/>
        <v>100</v>
      </c>
      <c r="H124" s="6">
        <f t="shared" si="16"/>
        <v>0</v>
      </c>
      <c r="I124" s="6">
        <f t="shared" si="14"/>
        <v>0</v>
      </c>
    </row>
    <row r="125" spans="1:9" s="2" customFormat="1" ht="18.75">
      <c r="A125" s="17" t="s">
        <v>98</v>
      </c>
      <c r="B125" s="80">
        <v>2</v>
      </c>
      <c r="C125" s="60">
        <v>2</v>
      </c>
      <c r="D125" s="83">
        <v>2</v>
      </c>
      <c r="E125" s="19">
        <f>D125/D106*100</f>
        <v>0.006387817155121753</v>
      </c>
      <c r="F125" s="6">
        <f t="shared" si="15"/>
        <v>100</v>
      </c>
      <c r="G125" s="6">
        <f t="shared" si="12"/>
        <v>100</v>
      </c>
      <c r="H125" s="6">
        <f t="shared" si="16"/>
        <v>0</v>
      </c>
      <c r="I125" s="6">
        <f t="shared" si="14"/>
        <v>0</v>
      </c>
    </row>
    <row r="126" spans="1:9" s="2" customFormat="1" ht="37.5">
      <c r="A126" s="17" t="s">
        <v>117</v>
      </c>
      <c r="B126" s="80">
        <v>332.3</v>
      </c>
      <c r="C126" s="60">
        <v>332.3</v>
      </c>
      <c r="D126" s="83"/>
      <c r="E126" s="19">
        <f>D126/D106*100</f>
        <v>0</v>
      </c>
      <c r="F126" s="6">
        <f t="shared" si="15"/>
        <v>0</v>
      </c>
      <c r="G126" s="6">
        <f t="shared" si="12"/>
        <v>0</v>
      </c>
      <c r="H126" s="6">
        <f t="shared" si="16"/>
        <v>332.3</v>
      </c>
      <c r="I126" s="6">
        <f t="shared" si="14"/>
        <v>332.3</v>
      </c>
    </row>
    <row r="127" spans="1:9" s="2" customFormat="1" ht="37.5">
      <c r="A127" s="17" t="s">
        <v>78</v>
      </c>
      <c r="B127" s="80">
        <f>56.9+27.9</f>
        <v>84.8</v>
      </c>
      <c r="C127" s="60">
        <f>101.4+27.9</f>
        <v>129.3</v>
      </c>
      <c r="D127" s="83">
        <f>3+3+4.9+21.9-0.1+12.2+1.6+6.9</f>
        <v>53.39999999999999</v>
      </c>
      <c r="E127" s="19">
        <f>D127/D106*100</f>
        <v>0.17055471804175076</v>
      </c>
      <c r="F127" s="6">
        <f t="shared" si="15"/>
        <v>62.971698113207545</v>
      </c>
      <c r="G127" s="6">
        <f t="shared" si="12"/>
        <v>41.29930394431553</v>
      </c>
      <c r="H127" s="6">
        <f t="shared" si="16"/>
        <v>31.400000000000006</v>
      </c>
      <c r="I127" s="6">
        <f t="shared" si="14"/>
        <v>75.90000000000002</v>
      </c>
    </row>
    <row r="128" spans="1:9" s="2" customFormat="1" ht="18.75">
      <c r="A128" s="17" t="s">
        <v>72</v>
      </c>
      <c r="B128" s="80">
        <v>52.2</v>
      </c>
      <c r="C128" s="60">
        <v>650</v>
      </c>
      <c r="D128" s="83"/>
      <c r="E128" s="19">
        <f>D128/D106*100</f>
        <v>0</v>
      </c>
      <c r="F128" s="6">
        <f t="shared" si="15"/>
        <v>0</v>
      </c>
      <c r="G128" s="6">
        <f t="shared" si="12"/>
        <v>0</v>
      </c>
      <c r="H128" s="6">
        <f t="shared" si="16"/>
        <v>52.2</v>
      </c>
      <c r="I128" s="6">
        <f t="shared" si="14"/>
        <v>650</v>
      </c>
    </row>
    <row r="129" spans="1:9" s="2" customFormat="1" ht="35.25" customHeight="1">
      <c r="A129" s="17" t="s">
        <v>71</v>
      </c>
      <c r="B129" s="80">
        <f>141.9+14.8</f>
        <v>156.70000000000002</v>
      </c>
      <c r="C129" s="60">
        <f>171.5+14.8</f>
        <v>186.3</v>
      </c>
      <c r="D129" s="83">
        <f>5.6+5.6+3.5+1.3</f>
        <v>16</v>
      </c>
      <c r="E129" s="19">
        <f>D129/D106*100</f>
        <v>0.05110253724097402</v>
      </c>
      <c r="F129" s="6">
        <f t="shared" si="15"/>
        <v>10.210593490746648</v>
      </c>
      <c r="G129" s="6">
        <f t="shared" si="12"/>
        <v>8.588298443370906</v>
      </c>
      <c r="H129" s="6">
        <f t="shared" si="16"/>
        <v>140.70000000000002</v>
      </c>
      <c r="I129" s="6">
        <f t="shared" si="14"/>
        <v>170.3</v>
      </c>
    </row>
    <row r="130" spans="1:9" s="2" customFormat="1" ht="35.25" customHeight="1">
      <c r="A130" s="17" t="s">
        <v>73</v>
      </c>
      <c r="B130" s="80">
        <v>0</v>
      </c>
      <c r="C130" s="60">
        <v>220</v>
      </c>
      <c r="D130" s="83"/>
      <c r="E130" s="19">
        <f>D130/D106*100</f>
        <v>0</v>
      </c>
      <c r="F130" s="118" t="e">
        <f t="shared" si="15"/>
        <v>#DIV/0!</v>
      </c>
      <c r="G130" s="6">
        <f t="shared" si="12"/>
        <v>0</v>
      </c>
      <c r="H130" s="6">
        <f t="shared" si="16"/>
        <v>0</v>
      </c>
      <c r="I130" s="6">
        <f t="shared" si="14"/>
        <v>220</v>
      </c>
    </row>
    <row r="131" spans="1:9" s="2" customFormat="1" ht="37.5">
      <c r="A131" s="17" t="s">
        <v>116</v>
      </c>
      <c r="B131" s="80">
        <v>265.1</v>
      </c>
      <c r="C131" s="60">
        <v>265.1</v>
      </c>
      <c r="D131" s="83"/>
      <c r="E131" s="19">
        <f>D131/D106*100</f>
        <v>0</v>
      </c>
      <c r="F131" s="6">
        <f t="shared" si="15"/>
        <v>0</v>
      </c>
      <c r="G131" s="6">
        <f>D131/C131*100</f>
        <v>0</v>
      </c>
      <c r="H131" s="6">
        <f t="shared" si="16"/>
        <v>265.1</v>
      </c>
      <c r="I131" s="6">
        <f t="shared" si="14"/>
        <v>265.1</v>
      </c>
    </row>
    <row r="132" spans="1:9" s="39" customFormat="1" ht="18">
      <c r="A132" s="29" t="s">
        <v>33</v>
      </c>
      <c r="B132" s="81">
        <v>64.2</v>
      </c>
      <c r="C132" s="51">
        <v>64.2</v>
      </c>
      <c r="D132" s="82"/>
      <c r="E132" s="1"/>
      <c r="F132" s="1">
        <f t="shared" si="15"/>
        <v>0</v>
      </c>
      <c r="G132" s="1">
        <f>D132/C132*100</f>
        <v>0</v>
      </c>
      <c r="H132" s="1">
        <f t="shared" si="16"/>
        <v>64.2</v>
      </c>
      <c r="I132" s="1">
        <f t="shared" si="14"/>
        <v>64.2</v>
      </c>
    </row>
    <row r="133" spans="1:9" s="2" customFormat="1" ht="18.75">
      <c r="A133" s="17" t="s">
        <v>32</v>
      </c>
      <c r="B133" s="80">
        <f>237.7+3.8</f>
        <v>241.5</v>
      </c>
      <c r="C133" s="60">
        <f>981.9+3.8</f>
        <v>985.6999999999999</v>
      </c>
      <c r="D133" s="83">
        <f>21.9+41.8+0.1+6.1+26+3.6+0.1+41-0.1+21.3+6.2+7.1</f>
        <v>175.09999999999997</v>
      </c>
      <c r="E133" s="19">
        <f>D133/D106*100</f>
        <v>0.5592533919309093</v>
      </c>
      <c r="F133" s="6">
        <f t="shared" si="15"/>
        <v>72.50517598343684</v>
      </c>
      <c r="G133" s="6">
        <f t="shared" si="12"/>
        <v>17.764025565587904</v>
      </c>
      <c r="H133" s="6">
        <f t="shared" si="16"/>
        <v>66.40000000000003</v>
      </c>
      <c r="I133" s="6">
        <f t="shared" si="14"/>
        <v>810.5999999999999</v>
      </c>
    </row>
    <row r="134" spans="1:9" s="39" customFormat="1" ht="18">
      <c r="A134" s="40" t="s">
        <v>54</v>
      </c>
      <c r="B134" s="81">
        <v>198.7</v>
      </c>
      <c r="C134" s="51">
        <v>848.7</v>
      </c>
      <c r="D134" s="82">
        <f>21.9+39.7+0.1+6.1+19+41-0.1+21.3</f>
        <v>149</v>
      </c>
      <c r="E134" s="1">
        <f>D134/D133*100</f>
        <v>85.0942318675043</v>
      </c>
      <c r="F134" s="1">
        <f aca="true" t="shared" si="17" ref="F134:F141">D134/B134*100</f>
        <v>74.98741821841973</v>
      </c>
      <c r="G134" s="1">
        <f t="shared" si="12"/>
        <v>17.55626251914693</v>
      </c>
      <c r="H134" s="1">
        <f t="shared" si="16"/>
        <v>49.69999999999999</v>
      </c>
      <c r="I134" s="1">
        <f t="shared" si="14"/>
        <v>699.7</v>
      </c>
    </row>
    <row r="135" spans="1:9" s="39" customFormat="1" ht="18">
      <c r="A135" s="29" t="s">
        <v>33</v>
      </c>
      <c r="B135" s="81">
        <v>18.8</v>
      </c>
      <c r="C135" s="51">
        <v>26.3</v>
      </c>
      <c r="D135" s="82">
        <f>7+6</f>
        <v>13</v>
      </c>
      <c r="E135" s="1">
        <f>D135/D133*100</f>
        <v>7.424328954882925</v>
      </c>
      <c r="F135" s="1">
        <f t="shared" si="17"/>
        <v>69.14893617021276</v>
      </c>
      <c r="G135" s="1">
        <f>D135/C135*100</f>
        <v>49.42965779467681</v>
      </c>
      <c r="H135" s="1">
        <f t="shared" si="16"/>
        <v>5.800000000000001</v>
      </c>
      <c r="I135" s="1">
        <f t="shared" si="14"/>
        <v>13.3</v>
      </c>
    </row>
    <row r="136" spans="1:9" s="2" customFormat="1" ht="56.25">
      <c r="A136" s="124" t="s">
        <v>118</v>
      </c>
      <c r="B136" s="80">
        <v>200</v>
      </c>
      <c r="C136" s="60">
        <v>200</v>
      </c>
      <c r="D136" s="83"/>
      <c r="E136" s="19">
        <f>D136/D106*100</f>
        <v>0</v>
      </c>
      <c r="F136" s="113">
        <f t="shared" si="17"/>
        <v>0</v>
      </c>
      <c r="G136" s="6">
        <f t="shared" si="12"/>
        <v>0</v>
      </c>
      <c r="H136" s="6">
        <f t="shared" si="16"/>
        <v>200</v>
      </c>
      <c r="I136" s="6">
        <f t="shared" si="14"/>
        <v>200</v>
      </c>
    </row>
    <row r="137" spans="1:9" s="2" customFormat="1" ht="18.75">
      <c r="A137" s="124" t="s">
        <v>109</v>
      </c>
      <c r="B137" s="80">
        <v>1400</v>
      </c>
      <c r="C137" s="60">
        <v>6500</v>
      </c>
      <c r="D137" s="83">
        <f>241.3</f>
        <v>241.3</v>
      </c>
      <c r="E137" s="19">
        <f>D137/D106*100</f>
        <v>0.7706901397654394</v>
      </c>
      <c r="F137" s="113">
        <f t="shared" si="17"/>
        <v>17.235714285714288</v>
      </c>
      <c r="G137" s="6">
        <f t="shared" si="12"/>
        <v>3.7123076923076925</v>
      </c>
      <c r="H137" s="6">
        <f t="shared" si="16"/>
        <v>1158.7</v>
      </c>
      <c r="I137" s="6">
        <f t="shared" si="14"/>
        <v>6258.7</v>
      </c>
    </row>
    <row r="138" spans="1:9" s="2" customFormat="1" ht="18.75">
      <c r="A138" s="124" t="s">
        <v>111</v>
      </c>
      <c r="B138" s="80">
        <v>1259.2</v>
      </c>
      <c r="C138" s="60">
        <v>6082.6</v>
      </c>
      <c r="D138" s="83">
        <f>626.1+43.8</f>
        <v>669.9</v>
      </c>
      <c r="E138" s="19">
        <f>D138/D106*100</f>
        <v>2.139599356108031</v>
      </c>
      <c r="F138" s="113">
        <f t="shared" si="17"/>
        <v>53.20044472681067</v>
      </c>
      <c r="G138" s="6">
        <f t="shared" si="12"/>
        <v>11.013382435142866</v>
      </c>
      <c r="H138" s="6">
        <f t="shared" si="16"/>
        <v>589.3000000000001</v>
      </c>
      <c r="I138" s="6">
        <f t="shared" si="14"/>
        <v>5412.700000000001</v>
      </c>
    </row>
    <row r="139" spans="1:9" s="2" customFormat="1" ht="18.75">
      <c r="A139" s="17" t="s">
        <v>27</v>
      </c>
      <c r="B139" s="80">
        <v>2094</v>
      </c>
      <c r="C139" s="60">
        <v>8376</v>
      </c>
      <c r="D139" s="83">
        <f>2094</f>
        <v>2094</v>
      </c>
      <c r="E139" s="19">
        <f>D139/D106*100</f>
        <v>6.688044561412474</v>
      </c>
      <c r="F139" s="113">
        <f t="shared" si="17"/>
        <v>100</v>
      </c>
      <c r="G139" s="6">
        <f t="shared" si="12"/>
        <v>25</v>
      </c>
      <c r="H139" s="6">
        <f t="shared" si="16"/>
        <v>0</v>
      </c>
      <c r="I139" s="6">
        <f t="shared" si="14"/>
        <v>6282</v>
      </c>
    </row>
    <row r="140" spans="1:12" s="2" customFormat="1" ht="18.75" customHeight="1">
      <c r="A140" s="17" t="s">
        <v>99</v>
      </c>
      <c r="B140" s="80">
        <v>538.2</v>
      </c>
      <c r="C140" s="60">
        <v>538.2</v>
      </c>
      <c r="D140" s="83">
        <f>507.8</f>
        <v>507.8</v>
      </c>
      <c r="E140" s="19">
        <f>D140/D106*100</f>
        <v>1.621866775685413</v>
      </c>
      <c r="F140" s="113">
        <f t="shared" si="17"/>
        <v>94.35154217762913</v>
      </c>
      <c r="G140" s="6">
        <f t="shared" si="12"/>
        <v>94.35154217762913</v>
      </c>
      <c r="H140" s="6">
        <f t="shared" si="16"/>
        <v>30.400000000000034</v>
      </c>
      <c r="I140" s="6">
        <f t="shared" si="14"/>
        <v>30.400000000000034</v>
      </c>
      <c r="K140" s="45"/>
      <c r="L140" s="45"/>
    </row>
    <row r="141" spans="1:12" s="2" customFormat="1" ht="19.5" customHeight="1">
      <c r="A141" s="17" t="s">
        <v>65</v>
      </c>
      <c r="B141" s="80">
        <v>35188.7</v>
      </c>
      <c r="C141" s="60">
        <v>91632.1</v>
      </c>
      <c r="D141" s="83">
        <f>500.9+20883.8</f>
        <v>21384.7</v>
      </c>
      <c r="E141" s="19">
        <f>D141/D106*100</f>
        <v>68.30077675856607</v>
      </c>
      <c r="F141" s="6">
        <f t="shared" si="17"/>
        <v>60.77149766828557</v>
      </c>
      <c r="G141" s="6">
        <f t="shared" si="12"/>
        <v>23.337564019595753</v>
      </c>
      <c r="H141" s="6">
        <f t="shared" si="16"/>
        <v>13803.999999999996</v>
      </c>
      <c r="I141" s="6">
        <f t="shared" si="14"/>
        <v>70247.40000000001</v>
      </c>
      <c r="K141" s="103"/>
      <c r="L141" s="45"/>
    </row>
    <row r="142" spans="1:12" s="2" customFormat="1" ht="18.75">
      <c r="A142" s="17" t="s">
        <v>103</v>
      </c>
      <c r="B142" s="80">
        <v>5565.9</v>
      </c>
      <c r="C142" s="60">
        <v>22263.4</v>
      </c>
      <c r="D142" s="83">
        <f>1236.9+618.4+618.4+618.4+618.5+618.4+618.4</f>
        <v>4947.4</v>
      </c>
      <c r="E142" s="19">
        <f>D142/D106*100</f>
        <v>15.801543296624676</v>
      </c>
      <c r="F142" s="6">
        <f t="shared" si="15"/>
        <v>88.88769111913616</v>
      </c>
      <c r="G142" s="6">
        <f t="shared" si="12"/>
        <v>22.222122407179494</v>
      </c>
      <c r="H142" s="6">
        <f t="shared" si="16"/>
        <v>618.5</v>
      </c>
      <c r="I142" s="6">
        <f t="shared" si="14"/>
        <v>17316</v>
      </c>
      <c r="K142" s="45"/>
      <c r="L142" s="45"/>
    </row>
    <row r="143" spans="1:12" s="2" customFormat="1" ht="19.5" thickBot="1">
      <c r="A143" s="41" t="s">
        <v>37</v>
      </c>
      <c r="B143" s="84">
        <f>B43+B68+B71+B76+B78+B86+B101+B106+B99+B83+B97</f>
        <v>55322.700000000004</v>
      </c>
      <c r="C143" s="84">
        <f>C43+C68+C71+C76+C78+C86+C101+C106+C99+C83+C97</f>
        <v>165070.59999999998</v>
      </c>
      <c r="D143" s="60">
        <f>D43+D68+D71+D76+D78+D86+D101+D106+D99+D83+D97</f>
        <v>32306.3</v>
      </c>
      <c r="E143" s="19"/>
      <c r="F143" s="19"/>
      <c r="G143" s="6"/>
      <c r="H143" s="6"/>
      <c r="I143" s="20"/>
      <c r="K143" s="45"/>
      <c r="L143" s="45"/>
    </row>
    <row r="144" spans="1:12" ht="19.5" thickBot="1">
      <c r="A144" s="14" t="s">
        <v>19</v>
      </c>
      <c r="B144" s="54">
        <f>B6+B18+B33+B43+B51+B58+B68+B71+B76+B78+B86+B89+B94+B101+B106+B99+B83+B97+B45</f>
        <v>238215.1</v>
      </c>
      <c r="C144" s="54">
        <f>C6+C18+C33+C43+C51+C58+C68+C71+C76+C78+C86+C89+C94+C101+C106+C99+C83+C97+C45</f>
        <v>896182.7999999999</v>
      </c>
      <c r="D144" s="54">
        <f>D6+D18+D33+D43+D51+D58+D68+D71+D76+D78+D86+D89+D94+D101+D106+D99+D83+D97+D45</f>
        <v>170127.7</v>
      </c>
      <c r="E144" s="38">
        <v>100</v>
      </c>
      <c r="F144" s="3">
        <f>D144/B144*100</f>
        <v>71.41768091107575</v>
      </c>
      <c r="G144" s="3">
        <f aca="true" t="shared" si="18" ref="G144:G150">D144/C144*100</f>
        <v>18.983593525785146</v>
      </c>
      <c r="H144" s="3">
        <f aca="true" t="shared" si="19" ref="H144:H150">B144-D144</f>
        <v>68087.4</v>
      </c>
      <c r="I144" s="3">
        <f aca="true" t="shared" si="20" ref="I144:I150">C144-D144</f>
        <v>726055.0999999999</v>
      </c>
      <c r="K144" s="46"/>
      <c r="L144" s="47"/>
    </row>
    <row r="145" spans="1:12" ht="18.75">
      <c r="A145" s="23" t="s">
        <v>5</v>
      </c>
      <c r="B145" s="67">
        <f>B8+B20+B34+B52+B59+B90+B114+B118+B46+B134</f>
        <v>118070.90000000001</v>
      </c>
      <c r="C145" s="67">
        <f>C8+C20+C34+C52+C59+C90+C114+C118+C46+C134</f>
        <v>507335.6</v>
      </c>
      <c r="D145" s="67">
        <f>D8+D20+D34+D52+D59+D90+D114+D118+D46+D134</f>
        <v>93002.29999999999</v>
      </c>
      <c r="E145" s="6">
        <f>D145/D144*100</f>
        <v>54.66617135246052</v>
      </c>
      <c r="F145" s="6">
        <f aca="true" t="shared" si="21" ref="F145:F156">D145/B145*100</f>
        <v>78.76818081339262</v>
      </c>
      <c r="G145" s="6">
        <f t="shared" si="18"/>
        <v>18.331514681800368</v>
      </c>
      <c r="H145" s="6">
        <f t="shared" si="19"/>
        <v>25068.60000000002</v>
      </c>
      <c r="I145" s="18">
        <f t="shared" si="20"/>
        <v>414333.3</v>
      </c>
      <c r="K145" s="46"/>
      <c r="L145" s="47"/>
    </row>
    <row r="146" spans="1:12" ht="18.75">
      <c r="A146" s="23" t="s">
        <v>0</v>
      </c>
      <c r="B146" s="68">
        <f>B11+B23+B36+B55+B61+B91+B49+B135+B108+B111+B95+B132</f>
        <v>30048.4</v>
      </c>
      <c r="C146" s="68">
        <f>C11+C23+C36+C55+C61+C91+C49+C135+C108+C111+C95+C132</f>
        <v>96347.79999999999</v>
      </c>
      <c r="D146" s="68">
        <f>D11+D23+D36+D55+D61+D91+D49+D135+D108+D111+D95+D132</f>
        <v>20860.999999999996</v>
      </c>
      <c r="E146" s="6">
        <f>D146/D144*100</f>
        <v>12.261965570568458</v>
      </c>
      <c r="F146" s="6">
        <f t="shared" si="21"/>
        <v>69.42466154603905</v>
      </c>
      <c r="G146" s="6">
        <f t="shared" si="18"/>
        <v>21.65176579018929</v>
      </c>
      <c r="H146" s="6">
        <f t="shared" si="19"/>
        <v>9187.400000000005</v>
      </c>
      <c r="I146" s="18">
        <f t="shared" si="20"/>
        <v>75486.79999999999</v>
      </c>
      <c r="K146" s="46"/>
      <c r="L146" s="102"/>
    </row>
    <row r="147" spans="1:12" ht="18.75">
      <c r="A147" s="23" t="s">
        <v>1</v>
      </c>
      <c r="B147" s="67">
        <f>B22+B10+B54+B48+B60+B35+B102+B122</f>
        <v>6125</v>
      </c>
      <c r="C147" s="67">
        <f>C22+C10+C54+C48+C60+C35+C102+C122</f>
        <v>25686.8</v>
      </c>
      <c r="D147" s="67">
        <f>D22+D10+D54+D48+D60+D35+D102+D122</f>
        <v>3999.9000000000005</v>
      </c>
      <c r="E147" s="6">
        <f>D147/D144*100</f>
        <v>2.3511162497347584</v>
      </c>
      <c r="F147" s="6">
        <f t="shared" si="21"/>
        <v>65.30448979591837</v>
      </c>
      <c r="G147" s="6">
        <f t="shared" si="18"/>
        <v>15.571811202641047</v>
      </c>
      <c r="H147" s="6">
        <f t="shared" si="19"/>
        <v>2125.0999999999995</v>
      </c>
      <c r="I147" s="18">
        <f t="shared" si="20"/>
        <v>21686.899999999998</v>
      </c>
      <c r="K147" s="46"/>
      <c r="L147" s="47"/>
    </row>
    <row r="148" spans="1:12" ht="21" customHeight="1">
      <c r="A148" s="23" t="s">
        <v>15</v>
      </c>
      <c r="B148" s="67">
        <f>B12+B24+B103+B62+B38+B92</f>
        <v>1844.9</v>
      </c>
      <c r="C148" s="67">
        <f>C12+C24+C103+C62+C38+C92</f>
        <v>14613.3</v>
      </c>
      <c r="D148" s="67">
        <f>D12+D24+D103+D62+D38+D92</f>
        <v>974.2</v>
      </c>
      <c r="E148" s="6">
        <f>D148/D144*100</f>
        <v>0.5726286783398588</v>
      </c>
      <c r="F148" s="6">
        <f t="shared" si="21"/>
        <v>52.805030082931324</v>
      </c>
      <c r="G148" s="6">
        <f t="shared" si="18"/>
        <v>6.666529805040615</v>
      </c>
      <c r="H148" s="6">
        <f t="shared" si="19"/>
        <v>870.7</v>
      </c>
      <c r="I148" s="18">
        <f t="shared" si="20"/>
        <v>13639.099999999999</v>
      </c>
      <c r="K148" s="46"/>
      <c r="L148" s="102"/>
    </row>
    <row r="149" spans="1:12" ht="18.75">
      <c r="A149" s="23" t="s">
        <v>2</v>
      </c>
      <c r="B149" s="67">
        <f>B9+B21+B47+B53+B121</f>
        <v>2582.8</v>
      </c>
      <c r="C149" s="67">
        <f>C9+C21+C47+C53+C121</f>
        <v>12618.400000000001</v>
      </c>
      <c r="D149" s="67">
        <f>D9+D21+D47+D53+D121</f>
        <v>1923.4999999999998</v>
      </c>
      <c r="E149" s="6">
        <f>D149/D144*100</f>
        <v>1.1306212921235046</v>
      </c>
      <c r="F149" s="6">
        <f t="shared" si="21"/>
        <v>74.47343967786897</v>
      </c>
      <c r="G149" s="6">
        <f t="shared" si="18"/>
        <v>15.243612502377477</v>
      </c>
      <c r="H149" s="6">
        <f t="shared" si="19"/>
        <v>659.3000000000004</v>
      </c>
      <c r="I149" s="18">
        <f t="shared" si="20"/>
        <v>10694.900000000001</v>
      </c>
      <c r="K149" s="46"/>
      <c r="L149" s="47"/>
    </row>
    <row r="150" spans="1:12" ht="19.5" thickBot="1">
      <c r="A150" s="23" t="s">
        <v>35</v>
      </c>
      <c r="B150" s="67">
        <f>B144-B145-B146-B147-B148-B149</f>
        <v>79543.09999999999</v>
      </c>
      <c r="C150" s="67">
        <f>C144-C145-C146-C147-C148-C149</f>
        <v>239580.9</v>
      </c>
      <c r="D150" s="67">
        <f>D144-D145-D146-D147-D148-D149</f>
        <v>49366.800000000025</v>
      </c>
      <c r="E150" s="6">
        <f>D150/D144*100</f>
        <v>29.017496856772894</v>
      </c>
      <c r="F150" s="6">
        <f t="shared" si="21"/>
        <v>62.062957063529126</v>
      </c>
      <c r="G150" s="43">
        <f t="shared" si="18"/>
        <v>20.605482323507434</v>
      </c>
      <c r="H150" s="6">
        <f t="shared" si="19"/>
        <v>30176.299999999967</v>
      </c>
      <c r="I150" s="6">
        <f t="shared" si="20"/>
        <v>190214.09999999998</v>
      </c>
      <c r="K150" s="46"/>
      <c r="L150" s="102"/>
    </row>
    <row r="151" spans="1:12" ht="5.25" customHeight="1" thickBot="1">
      <c r="A151" s="35"/>
      <c r="B151" s="85"/>
      <c r="C151" s="86"/>
      <c r="D151" s="86"/>
      <c r="E151" s="21"/>
      <c r="F151" s="21"/>
      <c r="G151" s="21"/>
      <c r="H151" s="21"/>
      <c r="I151" s="22"/>
      <c r="K151" s="46"/>
      <c r="L151" s="46"/>
    </row>
    <row r="152" spans="1:12" ht="18.75">
      <c r="A152" s="32" t="s">
        <v>21</v>
      </c>
      <c r="B152" s="87">
        <v>3301.9</v>
      </c>
      <c r="C152" s="73">
        <v>3301.9</v>
      </c>
      <c r="D152" s="73">
        <f>288.1+1522.4+951.8+530.2+8.8</f>
        <v>3301.3</v>
      </c>
      <c r="E152" s="15"/>
      <c r="F152" s="6">
        <f t="shared" si="21"/>
        <v>99.981828644114</v>
      </c>
      <c r="G152" s="6">
        <f aca="true" t="shared" si="22" ref="G152:G161">D152/C152*100</f>
        <v>99.981828644114</v>
      </c>
      <c r="H152" s="6">
        <f>B152-D152</f>
        <v>0.599999999999909</v>
      </c>
      <c r="I152" s="6">
        <f aca="true" t="shared" si="23" ref="I152:I161">C152-D152</f>
        <v>0.599999999999909</v>
      </c>
      <c r="J152" s="104"/>
      <c r="K152" s="46"/>
      <c r="L152" s="46"/>
    </row>
    <row r="153" spans="1:12" ht="18.75" hidden="1">
      <c r="A153" s="23" t="s">
        <v>22</v>
      </c>
      <c r="B153" s="88"/>
      <c r="C153" s="67"/>
      <c r="D153" s="67"/>
      <c r="E153" s="6"/>
      <c r="F153" s="6" t="e">
        <f t="shared" si="21"/>
        <v>#DIV/0!</v>
      </c>
      <c r="G153" s="6" t="e">
        <f t="shared" si="22"/>
        <v>#DIV/0!</v>
      </c>
      <c r="H153" s="6">
        <f aca="true" t="shared" si="24" ref="H153:H160">B153-D153</f>
        <v>0</v>
      </c>
      <c r="I153" s="6">
        <f t="shared" si="23"/>
        <v>0</v>
      </c>
      <c r="K153" s="46"/>
      <c r="L153" s="46"/>
    </row>
    <row r="154" spans="1:12" ht="18.75">
      <c r="A154" s="23" t="s">
        <v>61</v>
      </c>
      <c r="B154" s="88">
        <f>44117.7+550</f>
        <v>44667.7</v>
      </c>
      <c r="C154" s="67">
        <f>105819.2+550</f>
        <v>106369.2</v>
      </c>
      <c r="D154" s="67">
        <f>72+2507+500.9+784.3+577.6+1236.9+2501.8+375+180.7+310.2-4.2+554.9</f>
        <v>9597.1</v>
      </c>
      <c r="E154" s="6"/>
      <c r="F154" s="6">
        <f t="shared" si="21"/>
        <v>21.48554772240344</v>
      </c>
      <c r="G154" s="6">
        <f t="shared" si="22"/>
        <v>9.02244258676384</v>
      </c>
      <c r="H154" s="6">
        <f t="shared" si="24"/>
        <v>35070.6</v>
      </c>
      <c r="I154" s="6">
        <f t="shared" si="23"/>
        <v>96772.09999999999</v>
      </c>
      <c r="K154" s="46"/>
      <c r="L154" s="46"/>
    </row>
    <row r="155" spans="1:12" ht="37.5" hidden="1">
      <c r="A155" s="23" t="s">
        <v>70</v>
      </c>
      <c r="B155" s="88"/>
      <c r="C155" s="67"/>
      <c r="D155" s="67"/>
      <c r="E155" s="6"/>
      <c r="F155" s="6" t="e">
        <f t="shared" si="21"/>
        <v>#DIV/0!</v>
      </c>
      <c r="G155" s="6" t="e">
        <f t="shared" si="22"/>
        <v>#DIV/0!</v>
      </c>
      <c r="H155" s="6">
        <f t="shared" si="24"/>
        <v>0</v>
      </c>
      <c r="I155" s="6">
        <f t="shared" si="23"/>
        <v>0</v>
      </c>
      <c r="K155" s="46"/>
      <c r="L155" s="46"/>
    </row>
    <row r="156" spans="1:12" ht="18.75">
      <c r="A156" s="23" t="s">
        <v>13</v>
      </c>
      <c r="B156" s="88">
        <v>4</v>
      </c>
      <c r="C156" s="67">
        <v>54</v>
      </c>
      <c r="D156" s="67"/>
      <c r="E156" s="19"/>
      <c r="F156" s="6">
        <f t="shared" si="21"/>
        <v>0</v>
      </c>
      <c r="G156" s="6">
        <f t="shared" si="22"/>
        <v>0</v>
      </c>
      <c r="H156" s="6">
        <f t="shared" si="24"/>
        <v>4</v>
      </c>
      <c r="I156" s="6">
        <f t="shared" si="23"/>
        <v>54</v>
      </c>
      <c r="K156" s="46"/>
      <c r="L156" s="46"/>
    </row>
    <row r="157" spans="1:12" ht="18.75" hidden="1">
      <c r="A157" s="23" t="s">
        <v>26</v>
      </c>
      <c r="B157" s="88"/>
      <c r="C157" s="67"/>
      <c r="D157" s="67"/>
      <c r="E157" s="19"/>
      <c r="F157" s="6" t="e">
        <f>D157/B157*100</f>
        <v>#DIV/0!</v>
      </c>
      <c r="G157" s="6" t="e">
        <f t="shared" si="22"/>
        <v>#DIV/0!</v>
      </c>
      <c r="H157" s="6">
        <f t="shared" si="24"/>
        <v>0</v>
      </c>
      <c r="I157" s="6">
        <f t="shared" si="23"/>
        <v>0</v>
      </c>
      <c r="K157" s="46"/>
      <c r="L157" s="46"/>
    </row>
    <row r="158" spans="1:9" ht="18.75">
      <c r="A158" s="23" t="s">
        <v>53</v>
      </c>
      <c r="B158" s="88">
        <v>381.6</v>
      </c>
      <c r="C158" s="67">
        <v>1212</v>
      </c>
      <c r="D158" s="67">
        <f>15.4</f>
        <v>15.4</v>
      </c>
      <c r="E158" s="19"/>
      <c r="F158" s="6">
        <f>D158/B158*100</f>
        <v>4.035639412997903</v>
      </c>
      <c r="G158" s="6">
        <f t="shared" si="22"/>
        <v>1.2706270627062706</v>
      </c>
      <c r="H158" s="6">
        <f t="shared" si="24"/>
        <v>366.20000000000005</v>
      </c>
      <c r="I158" s="6">
        <f t="shared" si="23"/>
        <v>1196.6</v>
      </c>
    </row>
    <row r="159" spans="1:9" ht="19.5" customHeight="1" hidden="1">
      <c r="A159" s="23" t="s">
        <v>68</v>
      </c>
      <c r="B159" s="88"/>
      <c r="C159" s="67"/>
      <c r="D159" s="67"/>
      <c r="E159" s="19"/>
      <c r="F159" s="6" t="e">
        <f>D159/B159*100</f>
        <v>#DIV/0!</v>
      </c>
      <c r="G159" s="6" t="e">
        <f t="shared" si="22"/>
        <v>#DIV/0!</v>
      </c>
      <c r="H159" s="6">
        <f t="shared" si="24"/>
        <v>0</v>
      </c>
      <c r="I159" s="6">
        <f t="shared" si="23"/>
        <v>0</v>
      </c>
    </row>
    <row r="160" spans="1:9" ht="19.5" thickBot="1">
      <c r="A160" s="23" t="s">
        <v>62</v>
      </c>
      <c r="B160" s="88">
        <v>0</v>
      </c>
      <c r="C160" s="89">
        <v>3718.8</v>
      </c>
      <c r="D160" s="89"/>
      <c r="E160" s="24"/>
      <c r="F160" s="118" t="e">
        <f>D160/B160*100</f>
        <v>#DIV/0!</v>
      </c>
      <c r="G160" s="6">
        <f t="shared" si="22"/>
        <v>0</v>
      </c>
      <c r="H160" s="6">
        <f t="shared" si="24"/>
        <v>0</v>
      </c>
      <c r="I160" s="6">
        <f t="shared" si="23"/>
        <v>3718.8</v>
      </c>
    </row>
    <row r="161" spans="1:9" ht="19.5" thickBot="1">
      <c r="A161" s="14" t="s">
        <v>20</v>
      </c>
      <c r="B161" s="90">
        <f>B144+B152+B156+B157+B153+B160+B159+B154+B158+B155</f>
        <v>286570.3</v>
      </c>
      <c r="C161" s="90">
        <f>C144+C152+C156+C157+C153+C160+C159+C154+C158+C155</f>
        <v>1010838.7</v>
      </c>
      <c r="D161" s="90">
        <f>D144+D152+D156+D157+D153+D160+D159+D154+D158+D155</f>
        <v>183041.5</v>
      </c>
      <c r="E161" s="25"/>
      <c r="F161" s="3">
        <f>D161/B161*100</f>
        <v>63.87315782549692</v>
      </c>
      <c r="G161" s="3">
        <f t="shared" si="22"/>
        <v>18.10788407685618</v>
      </c>
      <c r="H161" s="3">
        <f>B161-D161</f>
        <v>103528.79999999999</v>
      </c>
      <c r="I161" s="3">
        <f t="shared" si="23"/>
        <v>827797.2</v>
      </c>
    </row>
    <row r="162" spans="7:8" ht="12.75">
      <c r="G162" s="26"/>
      <c r="H162" s="26"/>
    </row>
    <row r="163" spans="7:9" ht="12.75">
      <c r="G163" s="26"/>
      <c r="H163" s="26"/>
      <c r="I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  <row r="394" spans="7:8" ht="12.75">
      <c r="G394" s="26"/>
      <c r="H394" s="26"/>
    </row>
    <row r="395" spans="7:8" ht="12.75">
      <c r="G395" s="26"/>
      <c r="H395" s="26"/>
    </row>
    <row r="396" spans="7:8" ht="12.75">
      <c r="G396" s="26"/>
      <c r="H396" s="26"/>
    </row>
    <row r="397" spans="7:8" ht="12.75">
      <c r="G397" s="26"/>
      <c r="H397" s="26"/>
    </row>
    <row r="398" spans="7:8" ht="12.75">
      <c r="G398" s="26"/>
      <c r="H398" s="26"/>
    </row>
    <row r="399" spans="7:8" ht="12.75">
      <c r="G399" s="26"/>
      <c r="H399" s="26"/>
    </row>
    <row r="400" spans="7:8" ht="12.75">
      <c r="G400" s="26"/>
      <c r="H400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printOptions/>
  <pageMargins left="0.61" right="0.16" top="0.37" bottom="0.42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S19" sqref="S19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170127.7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G47" sqref="G4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M36" sqref="M3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5" sqref="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5" sqref="Q25:R25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Q24" sqref="Q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фінансування'!C144</f>
        <v>896182.7999999999</v>
      </c>
    </row>
    <row r="2" spans="1:5" ht="15.75">
      <c r="A2" s="4"/>
      <c r="B2" s="4"/>
      <c r="C2" s="4"/>
      <c r="D2" s="4" t="s">
        <v>39</v>
      </c>
      <c r="E2" s="5">
        <f>'аналіз фінансування'!D144</f>
        <v>170127.7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2015-03-20T10:49:41Z</cp:lastPrinted>
  <dcterms:created xsi:type="dcterms:W3CDTF">2000-06-20T04:48:00Z</dcterms:created>
  <dcterms:modified xsi:type="dcterms:W3CDTF">2015-03-23T08:16:38Z</dcterms:modified>
  <cp:category/>
  <cp:version/>
  <cp:contentType/>
  <cp:contentStatus/>
</cp:coreProperties>
</file>